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OVA REDE\1. ADMINISTRATIVO\1.17. Site\2025\3T25\Excel\"/>
    </mc:Choice>
  </mc:AlternateContent>
  <xr:revisionPtr revIDLastSave="0" documentId="13_ncr:1_{B5B5C23C-AC1E-4DA3-9F3B-CDF75D5FC062}" xr6:coauthVersionLast="47" xr6:coauthVersionMax="47" xr10:uidLastSave="{00000000-0000-0000-0000-000000000000}"/>
  <bookViews>
    <workbookView xWindow="-28920" yWindow="2955" windowWidth="29040" windowHeight="15720" xr2:uid="{44BAF363-D45A-429E-B733-028ED5E9CF4B}"/>
  </bookViews>
  <sheets>
    <sheet name="Proventos (port)" sheetId="1" r:id="rId1"/>
    <sheet name="Proventos (eng)" sheetId="3" r:id="rId2"/>
    <sheet name="Planilha1" sheetId="4" r:id="rId3"/>
  </sheets>
  <definedNames>
    <definedName name="__123Graph_A" hidden="1">#REF!</definedName>
    <definedName name="__123Graph_ACOMPARA" hidden="1">#REF!</definedName>
    <definedName name="__123Graph_ACONSMED" hidden="1">#REF!</definedName>
    <definedName name="__123Graph_APREVROUT" hidden="1">#REF!</definedName>
    <definedName name="__123Graph_DPREVREALI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1__123Graph_ACHART_29" hidden="1">#REF!</definedName>
    <definedName name="_21__123Graph_ACHART_3" hidden="1">#REF!</definedName>
    <definedName name="_22__123Graph_ACHART_3" hidden="1">#REF!</definedName>
    <definedName name="_22__123Graph_ACHART_30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xlnm._FilterDatabase" localSheetId="0" hidden="1">'Proventos (port)'!$A$6:$J$15</definedName>
    <definedName name="_xlnm._FilterDatabase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AA" hidden="1">#REF!</definedName>
    <definedName name="AAAAA" hidden="1">#REF!</definedName>
    <definedName name="AAAAAA" hidden="1">#REF!</definedName>
    <definedName name="AAAAAAAAA" hidden="1">#REF!</definedName>
    <definedName name="anscount" hidden="1">3</definedName>
    <definedName name="AS2DocOpenMode" hidden="1">"AS2DocumentEdit"</definedName>
    <definedName name="HTML_CodePage" hidden="1">1252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limcount" hidden="1">1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P7" i="1"/>
  <c r="P7" i="3" s="1"/>
  <c r="I14" i="4"/>
  <c r="H14" i="4"/>
  <c r="I7" i="4"/>
  <c r="H7" i="4"/>
  <c r="M149" i="3"/>
  <c r="M148" i="3"/>
  <c r="M147" i="3"/>
  <c r="M146" i="3"/>
  <c r="M143" i="3"/>
  <c r="M140" i="3"/>
  <c r="M137" i="3"/>
  <c r="M136" i="3"/>
  <c r="M135" i="3"/>
  <c r="M132" i="3"/>
  <c r="M131" i="3"/>
  <c r="M130" i="3"/>
  <c r="M127" i="3"/>
  <c r="M126" i="3"/>
  <c r="M125" i="3"/>
  <c r="M124" i="3"/>
  <c r="M123" i="3"/>
  <c r="M122" i="3"/>
  <c r="M121" i="3"/>
  <c r="M118" i="3"/>
  <c r="M117" i="3"/>
  <c r="M116" i="3"/>
  <c r="M115" i="3"/>
  <c r="M114" i="3"/>
  <c r="M113" i="3"/>
  <c r="M112" i="3"/>
  <c r="M111" i="3"/>
  <c r="M110" i="3"/>
  <c r="M107" i="3"/>
  <c r="M106" i="3"/>
  <c r="M105" i="3"/>
  <c r="M104" i="3"/>
  <c r="M103" i="3"/>
  <c r="M102" i="3"/>
  <c r="M101" i="3"/>
  <c r="M100" i="3"/>
  <c r="M99" i="3"/>
  <c r="M98" i="3"/>
  <c r="M95" i="3"/>
  <c r="M94" i="3"/>
  <c r="M93" i="3"/>
  <c r="M92" i="3"/>
  <c r="M91" i="3"/>
  <c r="M90" i="3"/>
  <c r="M89" i="3"/>
  <c r="M88" i="3"/>
  <c r="M87" i="3"/>
  <c r="M84" i="3"/>
  <c r="M83" i="3"/>
  <c r="M82" i="3"/>
  <c r="M81" i="3"/>
  <c r="M80" i="3"/>
  <c r="M79" i="3"/>
  <c r="M76" i="3"/>
  <c r="M75" i="3"/>
  <c r="M74" i="3"/>
  <c r="M73" i="3"/>
  <c r="M70" i="3"/>
  <c r="M69" i="3"/>
  <c r="M66" i="3"/>
  <c r="M65" i="3"/>
  <c r="M64" i="3"/>
  <c r="M61" i="3"/>
  <c r="M60" i="3"/>
  <c r="M57" i="3"/>
  <c r="M56" i="3"/>
  <c r="M53" i="3"/>
  <c r="M52" i="3"/>
  <c r="M51" i="3"/>
  <c r="M48" i="3"/>
  <c r="M47" i="3"/>
  <c r="M46" i="3"/>
  <c r="M43" i="3"/>
  <c r="M42" i="3"/>
  <c r="M41" i="3"/>
  <c r="M40" i="3"/>
  <c r="M37" i="3"/>
  <c r="M36" i="3"/>
  <c r="M35" i="3"/>
  <c r="M34" i="3"/>
  <c r="M33" i="3"/>
  <c r="M32" i="3"/>
  <c r="M29" i="3"/>
  <c r="M28" i="3"/>
  <c r="M27" i="3"/>
  <c r="M26" i="3"/>
  <c r="M25" i="3"/>
  <c r="I7" i="3"/>
  <c r="G7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C8" i="3"/>
  <c r="B8" i="3"/>
  <c r="B7" i="3"/>
  <c r="V7" i="1"/>
  <c r="AA7" i="1" s="1"/>
  <c r="AA7" i="3" s="1"/>
  <c r="M9" i="1"/>
  <c r="M10" i="1"/>
  <c r="M8" i="1"/>
  <c r="L10" i="1"/>
  <c r="V7" i="3" l="1"/>
  <c r="W7" i="1"/>
  <c r="Z7" i="1"/>
  <c r="Z7" i="3" s="1"/>
  <c r="W7" i="3" l="1"/>
  <c r="F7" i="1"/>
  <c r="F7" i="3" s="1"/>
  <c r="E7" i="1"/>
  <c r="A10" i="1"/>
  <c r="L9" i="1"/>
  <c r="A9" i="1"/>
  <c r="L8" i="1"/>
  <c r="A8" i="1"/>
  <c r="A144" i="3"/>
  <c r="A143" i="3"/>
  <c r="A142" i="3"/>
  <c r="A141" i="3"/>
  <c r="I145" i="3"/>
  <c r="F145" i="3"/>
  <c r="A140" i="3"/>
  <c r="A138" i="3"/>
  <c r="I142" i="3"/>
  <c r="F142" i="3"/>
  <c r="E142" i="3"/>
  <c r="A137" i="3"/>
  <c r="A135" i="3"/>
  <c r="I139" i="3"/>
  <c r="F139" i="3"/>
  <c r="E139" i="3"/>
  <c r="A134" i="3"/>
  <c r="A132" i="3"/>
  <c r="A131" i="3"/>
  <c r="F134" i="3"/>
  <c r="E134" i="3"/>
  <c r="A130" i="3"/>
  <c r="I134" i="3"/>
  <c r="A129" i="3"/>
  <c r="E129" i="3"/>
  <c r="A127" i="3"/>
  <c r="A126" i="3"/>
  <c r="F129" i="3"/>
  <c r="A125" i="3"/>
  <c r="I129" i="3"/>
  <c r="A124" i="3"/>
  <c r="A122" i="3"/>
  <c r="A121" i="3"/>
  <c r="A120" i="3"/>
  <c r="E120" i="3"/>
  <c r="A119" i="3"/>
  <c r="A118" i="3"/>
  <c r="A117" i="3"/>
  <c r="A116" i="3"/>
  <c r="I120" i="3"/>
  <c r="A115" i="3"/>
  <c r="F109" i="3"/>
  <c r="A113" i="3"/>
  <c r="A112" i="3"/>
  <c r="A111" i="3"/>
  <c r="A110" i="3"/>
  <c r="A109" i="3"/>
  <c r="A108" i="3"/>
  <c r="A107" i="3"/>
  <c r="A106" i="3"/>
  <c r="E109" i="3"/>
  <c r="A105" i="3"/>
  <c r="I109" i="3"/>
  <c r="A104" i="3"/>
  <c r="A102" i="3"/>
  <c r="A101" i="3"/>
  <c r="A100" i="3"/>
  <c r="A99" i="3"/>
  <c r="A98" i="3"/>
  <c r="A97" i="3"/>
  <c r="A96" i="3"/>
  <c r="A95" i="3"/>
  <c r="A94" i="3"/>
  <c r="F97" i="3"/>
  <c r="A93" i="3"/>
  <c r="I97" i="3"/>
  <c r="A92" i="3"/>
  <c r="E86" i="3"/>
  <c r="A90" i="3"/>
  <c r="A89" i="3"/>
  <c r="A88" i="3"/>
  <c r="A87" i="3"/>
  <c r="A86" i="3"/>
  <c r="F86" i="3"/>
  <c r="A85" i="3"/>
  <c r="A84" i="3"/>
  <c r="A83" i="3"/>
  <c r="A82" i="3"/>
  <c r="I86" i="3"/>
  <c r="A81" i="3"/>
  <c r="A79" i="3"/>
  <c r="A78" i="3"/>
  <c r="F78" i="3"/>
  <c r="A77" i="3"/>
  <c r="A76" i="3"/>
  <c r="A75" i="3"/>
  <c r="A74" i="3"/>
  <c r="E78" i="3"/>
  <c r="J78" i="3" s="1"/>
  <c r="A73" i="3"/>
  <c r="A71" i="3"/>
  <c r="A70" i="3"/>
  <c r="A69" i="3"/>
  <c r="A68" i="3"/>
  <c r="F72" i="3"/>
  <c r="E72" i="3"/>
  <c r="A67" i="3"/>
  <c r="A65" i="3"/>
  <c r="E68" i="3"/>
  <c r="A64" i="3"/>
  <c r="F68" i="3"/>
  <c r="A63" i="3"/>
  <c r="A61" i="3"/>
  <c r="A60" i="3"/>
  <c r="E63" i="3"/>
  <c r="A59" i="3"/>
  <c r="F63" i="3"/>
  <c r="A58" i="3"/>
  <c r="F59" i="3"/>
  <c r="E59" i="3"/>
  <c r="A56" i="3"/>
  <c r="A55" i="3"/>
  <c r="A54" i="3"/>
  <c r="A52" i="3"/>
  <c r="F55" i="3"/>
  <c r="E55" i="3"/>
  <c r="H55" i="3" s="1"/>
  <c r="A51" i="3"/>
  <c r="A50" i="3"/>
  <c r="A48" i="3"/>
  <c r="A47" i="3"/>
  <c r="A46" i="3"/>
  <c r="F50" i="3"/>
  <c r="E50" i="3"/>
  <c r="A45" i="3"/>
  <c r="A43" i="3"/>
  <c r="A42" i="3"/>
  <c r="F45" i="3"/>
  <c r="E45" i="3"/>
  <c r="A41" i="3"/>
  <c r="A40" i="3"/>
  <c r="A38" i="3"/>
  <c r="A37" i="3"/>
  <c r="A36" i="3"/>
  <c r="A35" i="3"/>
  <c r="F39" i="3"/>
  <c r="A34" i="3"/>
  <c r="A32" i="3"/>
  <c r="A31" i="3"/>
  <c r="A30" i="3"/>
  <c r="A29" i="3"/>
  <c r="E31" i="3"/>
  <c r="A28" i="3"/>
  <c r="F31" i="3"/>
  <c r="A27" i="3"/>
  <c r="A26" i="3"/>
  <c r="A24" i="3"/>
  <c r="A23" i="3"/>
  <c r="A22" i="3"/>
  <c r="A21" i="3"/>
  <c r="F24" i="3"/>
  <c r="E24" i="3"/>
  <c r="H24" i="3" s="1"/>
  <c r="A20" i="3"/>
  <c r="L17" i="3"/>
  <c r="A17" i="3"/>
  <c r="F21" i="3"/>
  <c r="E21" i="3"/>
  <c r="A14" i="3"/>
  <c r="O9" i="3"/>
  <c r="F17" i="3"/>
  <c r="E17" i="3"/>
  <c r="A13" i="3"/>
  <c r="L10" i="3"/>
  <c r="A10" i="3"/>
  <c r="L9" i="3"/>
  <c r="A9" i="3"/>
  <c r="L8" i="3"/>
  <c r="A8" i="3"/>
  <c r="F12" i="3"/>
  <c r="E12" i="3"/>
  <c r="J7" i="1" l="1"/>
  <c r="J7" i="3" s="1"/>
  <c r="E7" i="3"/>
  <c r="J139" i="3"/>
  <c r="J55" i="3"/>
  <c r="H7" i="1"/>
  <c r="H7" i="3" s="1"/>
  <c r="J31" i="3"/>
  <c r="H31" i="3"/>
  <c r="J86" i="3"/>
  <c r="H86" i="3"/>
  <c r="J59" i="3"/>
  <c r="H59" i="3"/>
  <c r="J17" i="3"/>
  <c r="H17" i="3"/>
  <c r="J142" i="3"/>
  <c r="H142" i="3"/>
  <c r="O10" i="3"/>
  <c r="J24" i="3"/>
  <c r="H134" i="3"/>
  <c r="J134" i="3"/>
  <c r="H12" i="3"/>
  <c r="J12" i="3"/>
  <c r="J120" i="3"/>
  <c r="H120" i="3"/>
  <c r="F120" i="3"/>
  <c r="E145" i="3"/>
  <c r="H45" i="3"/>
  <c r="J45" i="3"/>
  <c r="J63" i="3"/>
  <c r="H63" i="3"/>
  <c r="E97" i="3"/>
  <c r="E39" i="3"/>
  <c r="J50" i="3"/>
  <c r="H50" i="3"/>
  <c r="J72" i="3"/>
  <c r="H72" i="3"/>
  <c r="J129" i="3"/>
  <c r="H129" i="3"/>
  <c r="J109" i="3"/>
  <c r="H109" i="3"/>
  <c r="H78" i="3"/>
  <c r="H139" i="3"/>
  <c r="O11" i="3" l="1"/>
  <c r="J145" i="3"/>
  <c r="H145" i="3"/>
  <c r="H97" i="3"/>
  <c r="J97" i="3"/>
  <c r="J39" i="3"/>
  <c r="H39" i="3"/>
  <c r="O12" i="3" l="1"/>
  <c r="O13" i="3" l="1"/>
  <c r="O14" i="3" l="1"/>
  <c r="O15" i="3" l="1"/>
  <c r="O16" i="3" l="1"/>
  <c r="O17" i="3" l="1"/>
  <c r="O18" i="3" l="1"/>
  <c r="O19" i="3" l="1"/>
  <c r="O20" i="3" l="1"/>
  <c r="O21" i="3" l="1"/>
  <c r="O22" i="3" l="1"/>
  <c r="O23" i="3" l="1"/>
  <c r="O24" i="3" l="1"/>
  <c r="O25" i="3" l="1"/>
  <c r="O26" i="3" l="1"/>
  <c r="O27" i="3" l="1"/>
  <c r="O28" i="3" l="1"/>
  <c r="O29" i="3" l="1"/>
  <c r="O30" i="3" l="1"/>
  <c r="A150" i="1" l="1"/>
  <c r="L149" i="1"/>
  <c r="L149" i="3" s="1"/>
  <c r="A149" i="1"/>
  <c r="L148" i="1"/>
  <c r="L148" i="3" s="1"/>
  <c r="A148" i="1"/>
  <c r="L147" i="1"/>
  <c r="L147" i="3" s="1"/>
  <c r="A147" i="1"/>
  <c r="L146" i="1"/>
  <c r="L146" i="3" s="1"/>
  <c r="A146" i="1"/>
  <c r="I145" i="1"/>
  <c r="F145" i="1"/>
  <c r="E145" i="1"/>
  <c r="H145" i="1" s="1"/>
  <c r="A145" i="1"/>
  <c r="A144" i="1"/>
  <c r="L143" i="1"/>
  <c r="L143" i="3" s="1"/>
  <c r="A143" i="1"/>
  <c r="I142" i="1"/>
  <c r="F142" i="1"/>
  <c r="E142" i="1"/>
  <c r="H142" i="1" s="1"/>
  <c r="A142" i="1"/>
  <c r="A141" i="1"/>
  <c r="L140" i="1"/>
  <c r="L140" i="3" s="1"/>
  <c r="A140" i="1"/>
  <c r="I139" i="1"/>
  <c r="F139" i="1"/>
  <c r="E139" i="1"/>
  <c r="A139" i="1"/>
  <c r="A138" i="1"/>
  <c r="L137" i="1"/>
  <c r="L137" i="3" s="1"/>
  <c r="A137" i="1"/>
  <c r="L136" i="1"/>
  <c r="L136" i="3" s="1"/>
  <c r="A136" i="1"/>
  <c r="L135" i="1"/>
  <c r="L135" i="3" s="1"/>
  <c r="A135" i="1"/>
  <c r="I134" i="1"/>
  <c r="F134" i="1"/>
  <c r="E134" i="1"/>
  <c r="A134" i="1"/>
  <c r="A133" i="1"/>
  <c r="L132" i="1"/>
  <c r="L132" i="3" s="1"/>
  <c r="A132" i="1"/>
  <c r="L131" i="1"/>
  <c r="L131" i="3" s="1"/>
  <c r="A131" i="1"/>
  <c r="L130" i="1"/>
  <c r="L130" i="3" s="1"/>
  <c r="A130" i="1"/>
  <c r="I129" i="1"/>
  <c r="F129" i="1"/>
  <c r="E129" i="1"/>
  <c r="H129" i="1" s="1"/>
  <c r="A129" i="1"/>
  <c r="A128" i="1"/>
  <c r="L127" i="1"/>
  <c r="L127" i="3" s="1"/>
  <c r="A127" i="1"/>
  <c r="L126" i="1"/>
  <c r="L126" i="3" s="1"/>
  <c r="A126" i="1"/>
  <c r="L125" i="1"/>
  <c r="L125" i="3" s="1"/>
  <c r="A125" i="1"/>
  <c r="L124" i="1"/>
  <c r="L124" i="3" s="1"/>
  <c r="A124" i="1"/>
  <c r="L123" i="1"/>
  <c r="L123" i="3" s="1"/>
  <c r="A123" i="1"/>
  <c r="L122" i="1"/>
  <c r="L122" i="3" s="1"/>
  <c r="A122" i="1"/>
  <c r="L121" i="1"/>
  <c r="L121" i="3" s="1"/>
  <c r="A121" i="1"/>
  <c r="I120" i="1"/>
  <c r="F120" i="1"/>
  <c r="E120" i="1"/>
  <c r="A120" i="1"/>
  <c r="A119" i="1"/>
  <c r="L118" i="1"/>
  <c r="L118" i="3" s="1"/>
  <c r="A118" i="1"/>
  <c r="L117" i="1"/>
  <c r="L117" i="3" s="1"/>
  <c r="A117" i="1"/>
  <c r="L116" i="1"/>
  <c r="L116" i="3" s="1"/>
  <c r="A116" i="1"/>
  <c r="L115" i="1"/>
  <c r="L115" i="3" s="1"/>
  <c r="A115" i="1"/>
  <c r="L114" i="1"/>
  <c r="L114" i="3" s="1"/>
  <c r="A114" i="1"/>
  <c r="L113" i="1"/>
  <c r="L113" i="3" s="1"/>
  <c r="A113" i="1"/>
  <c r="L112" i="1"/>
  <c r="L112" i="3" s="1"/>
  <c r="A112" i="1"/>
  <c r="L111" i="1"/>
  <c r="L111" i="3" s="1"/>
  <c r="A111" i="1"/>
  <c r="L110" i="1"/>
  <c r="L110" i="3" s="1"/>
  <c r="A110" i="1"/>
  <c r="I109" i="1"/>
  <c r="F109" i="1"/>
  <c r="E109" i="1"/>
  <c r="A109" i="1"/>
  <c r="A108" i="1"/>
  <c r="L107" i="1"/>
  <c r="L107" i="3" s="1"/>
  <c r="A107" i="1"/>
  <c r="L106" i="1"/>
  <c r="L106" i="3" s="1"/>
  <c r="A106" i="1"/>
  <c r="L105" i="1"/>
  <c r="L105" i="3" s="1"/>
  <c r="A105" i="1"/>
  <c r="L104" i="1"/>
  <c r="L104" i="3" s="1"/>
  <c r="A104" i="1"/>
  <c r="L103" i="1"/>
  <c r="L103" i="3" s="1"/>
  <c r="A103" i="1"/>
  <c r="L102" i="1"/>
  <c r="L102" i="3" s="1"/>
  <c r="A102" i="1"/>
  <c r="L101" i="1"/>
  <c r="L101" i="3" s="1"/>
  <c r="A101" i="1"/>
  <c r="L100" i="1"/>
  <c r="L100" i="3" s="1"/>
  <c r="A100" i="1"/>
  <c r="L99" i="1"/>
  <c r="L99" i="3" s="1"/>
  <c r="A99" i="1"/>
  <c r="L98" i="1"/>
  <c r="L98" i="3" s="1"/>
  <c r="A98" i="1"/>
  <c r="I97" i="1"/>
  <c r="F97" i="1"/>
  <c r="E97" i="1"/>
  <c r="H97" i="1" s="1"/>
  <c r="A97" i="1"/>
  <c r="A96" i="1"/>
  <c r="L95" i="1"/>
  <c r="L95" i="3" s="1"/>
  <c r="A95" i="1"/>
  <c r="L94" i="1"/>
  <c r="L94" i="3" s="1"/>
  <c r="A94" i="1"/>
  <c r="L93" i="1"/>
  <c r="L93" i="3" s="1"/>
  <c r="A93" i="1"/>
  <c r="L92" i="1"/>
  <c r="L92" i="3" s="1"/>
  <c r="A92" i="1"/>
  <c r="L91" i="1"/>
  <c r="L91" i="3" s="1"/>
  <c r="A91" i="1"/>
  <c r="L90" i="1"/>
  <c r="L90" i="3" s="1"/>
  <c r="A90" i="1"/>
  <c r="L89" i="1"/>
  <c r="L89" i="3" s="1"/>
  <c r="A89" i="1"/>
  <c r="L88" i="1"/>
  <c r="L88" i="3" s="1"/>
  <c r="A88" i="1"/>
  <c r="L87" i="1"/>
  <c r="L87" i="3" s="1"/>
  <c r="A87" i="1"/>
  <c r="I86" i="1"/>
  <c r="F86" i="1"/>
  <c r="E86" i="1"/>
  <c r="H86" i="1" s="1"/>
  <c r="A86" i="1"/>
  <c r="A85" i="1"/>
  <c r="L84" i="1"/>
  <c r="L84" i="3" s="1"/>
  <c r="A84" i="1"/>
  <c r="L83" i="1"/>
  <c r="L83" i="3" s="1"/>
  <c r="E83" i="1"/>
  <c r="A83" i="1"/>
  <c r="L82" i="1"/>
  <c r="L82" i="3" s="1"/>
  <c r="E82" i="1"/>
  <c r="A82" i="1"/>
  <c r="L81" i="1"/>
  <c r="L81" i="3" s="1"/>
  <c r="E81" i="1"/>
  <c r="A81" i="1"/>
  <c r="L80" i="1"/>
  <c r="L80" i="3" s="1"/>
  <c r="A80" i="1"/>
  <c r="L79" i="1"/>
  <c r="L79" i="3" s="1"/>
  <c r="A79" i="1"/>
  <c r="F78" i="1"/>
  <c r="A78" i="1"/>
  <c r="A77" i="1"/>
  <c r="L76" i="1"/>
  <c r="L76" i="3" s="1"/>
  <c r="A76" i="1"/>
  <c r="L75" i="1"/>
  <c r="L75" i="3" s="1"/>
  <c r="A75" i="1"/>
  <c r="L74" i="1"/>
  <c r="L74" i="3" s="1"/>
  <c r="A74" i="1"/>
  <c r="L73" i="1"/>
  <c r="L73" i="3" s="1"/>
  <c r="A73" i="1"/>
  <c r="F72" i="1"/>
  <c r="E72" i="1"/>
  <c r="J72" i="1" s="1"/>
  <c r="A72" i="1"/>
  <c r="A71" i="1"/>
  <c r="L70" i="1"/>
  <c r="L70" i="3" s="1"/>
  <c r="E70" i="1"/>
  <c r="A70" i="1"/>
  <c r="L69" i="1"/>
  <c r="L69" i="3" s="1"/>
  <c r="E69" i="1"/>
  <c r="A69" i="1"/>
  <c r="F68" i="1"/>
  <c r="A68" i="1"/>
  <c r="A67" i="1"/>
  <c r="L66" i="1"/>
  <c r="L66" i="3" s="1"/>
  <c r="A66" i="1"/>
  <c r="L65" i="1"/>
  <c r="L65" i="3" s="1"/>
  <c r="A65" i="1"/>
  <c r="L64" i="1"/>
  <c r="L64" i="3" s="1"/>
  <c r="E64" i="1"/>
  <c r="E63" i="1" s="1"/>
  <c r="J63" i="1" s="1"/>
  <c r="A64" i="1"/>
  <c r="F63" i="1"/>
  <c r="A63" i="1"/>
  <c r="A62" i="1"/>
  <c r="L61" i="1"/>
  <c r="L61" i="3" s="1"/>
  <c r="E61" i="1"/>
  <c r="A61" i="1"/>
  <c r="L60" i="1"/>
  <c r="L60" i="3" s="1"/>
  <c r="E60" i="1"/>
  <c r="A60" i="1"/>
  <c r="F59" i="1"/>
  <c r="A59" i="1"/>
  <c r="A58" i="1"/>
  <c r="L57" i="1"/>
  <c r="L57" i="3" s="1"/>
  <c r="A57" i="1"/>
  <c r="L56" i="1"/>
  <c r="L56" i="3" s="1"/>
  <c r="A56" i="1"/>
  <c r="F55" i="1"/>
  <c r="E55" i="1"/>
  <c r="A55" i="1"/>
  <c r="A54" i="1"/>
  <c r="L53" i="1"/>
  <c r="L53" i="3" s="1"/>
  <c r="A53" i="1"/>
  <c r="L52" i="1"/>
  <c r="L52" i="3" s="1"/>
  <c r="A52" i="1"/>
  <c r="L51" i="1"/>
  <c r="L51" i="3" s="1"/>
  <c r="A51" i="1"/>
  <c r="F50" i="1"/>
  <c r="E50" i="1"/>
  <c r="A50" i="1"/>
  <c r="A49" i="1"/>
  <c r="L48" i="1"/>
  <c r="L48" i="3" s="1"/>
  <c r="E48" i="1"/>
  <c r="A48" i="1"/>
  <c r="L47" i="1"/>
  <c r="L47" i="3" s="1"/>
  <c r="A47" i="1"/>
  <c r="L46" i="1"/>
  <c r="L46" i="3" s="1"/>
  <c r="E46" i="1"/>
  <c r="A46" i="1"/>
  <c r="F45" i="1"/>
  <c r="A45" i="1"/>
  <c r="A44" i="1"/>
  <c r="L43" i="1"/>
  <c r="L43" i="3" s="1"/>
  <c r="E43" i="1"/>
  <c r="A43" i="1"/>
  <c r="L42" i="1"/>
  <c r="L42" i="3" s="1"/>
  <c r="A42" i="1"/>
  <c r="L41" i="1"/>
  <c r="L41" i="3" s="1"/>
  <c r="E41" i="1"/>
  <c r="A41" i="1"/>
  <c r="L40" i="1"/>
  <c r="L40" i="3" s="1"/>
  <c r="A40" i="1"/>
  <c r="F39" i="1"/>
  <c r="A39" i="1"/>
  <c r="A38" i="1"/>
  <c r="L37" i="1"/>
  <c r="L37" i="3" s="1"/>
  <c r="A37" i="1"/>
  <c r="L36" i="1"/>
  <c r="L36" i="3" s="1"/>
  <c r="A36" i="1"/>
  <c r="L35" i="1"/>
  <c r="L35" i="3" s="1"/>
  <c r="A35" i="1"/>
  <c r="L34" i="1"/>
  <c r="L34" i="3" s="1"/>
  <c r="E34" i="1"/>
  <c r="A34" i="1"/>
  <c r="L33" i="1"/>
  <c r="L33" i="3" s="1"/>
  <c r="E33" i="1"/>
  <c r="A33" i="1"/>
  <c r="L32" i="1"/>
  <c r="L32" i="3" s="1"/>
  <c r="A32" i="1"/>
  <c r="F31" i="1"/>
  <c r="A31" i="1"/>
  <c r="A30" i="1"/>
  <c r="L29" i="1"/>
  <c r="L29" i="3" s="1"/>
  <c r="E29" i="1"/>
  <c r="A29" i="1"/>
  <c r="L28" i="1"/>
  <c r="L28" i="3" s="1"/>
  <c r="E28" i="1"/>
  <c r="A28" i="1"/>
  <c r="L27" i="1"/>
  <c r="L27" i="3" s="1"/>
  <c r="E27" i="1"/>
  <c r="A27" i="1"/>
  <c r="L26" i="1"/>
  <c r="L26" i="3" s="1"/>
  <c r="E26" i="1"/>
  <c r="A26" i="1"/>
  <c r="L25" i="1"/>
  <c r="L25" i="3" s="1"/>
  <c r="A25" i="1"/>
  <c r="F24" i="1"/>
  <c r="L22" i="1"/>
  <c r="A22" i="1"/>
  <c r="F21" i="1"/>
  <c r="E21" i="1"/>
  <c r="L19" i="1"/>
  <c r="A19" i="1"/>
  <c r="L18" i="1"/>
  <c r="A18" i="1"/>
  <c r="F17" i="1"/>
  <c r="E17" i="1"/>
  <c r="J17" i="1" s="1"/>
  <c r="L15" i="1"/>
  <c r="A15" i="1"/>
  <c r="L14" i="1"/>
  <c r="A14" i="1"/>
  <c r="O8" i="1"/>
  <c r="L13" i="1"/>
  <c r="A13" i="1"/>
  <c r="Y7" i="1"/>
  <c r="F12" i="1"/>
  <c r="E12" i="1"/>
  <c r="H12" i="1" s="1"/>
  <c r="S7" i="3" l="1"/>
  <c r="R7" i="1"/>
  <c r="R7" i="3" s="1"/>
  <c r="Y7" i="3"/>
  <c r="S8" i="1"/>
  <c r="S8" i="3" s="1"/>
  <c r="E59" i="1"/>
  <c r="H59" i="1" s="1"/>
  <c r="E39" i="1"/>
  <c r="J39" i="1" s="1"/>
  <c r="J86" i="1"/>
  <c r="E45" i="1"/>
  <c r="J45" i="1" s="1"/>
  <c r="E68" i="1"/>
  <c r="J97" i="1"/>
  <c r="J120" i="1"/>
  <c r="J145" i="1"/>
  <c r="J142" i="1"/>
  <c r="H72" i="1"/>
  <c r="AB7" i="1"/>
  <c r="AB7" i="3" s="1"/>
  <c r="H63" i="1"/>
  <c r="J129" i="1"/>
  <c r="J50" i="1"/>
  <c r="H50" i="1"/>
  <c r="J109" i="1"/>
  <c r="H109" i="1"/>
  <c r="E78" i="1"/>
  <c r="T7" i="1"/>
  <c r="T7" i="3" s="1"/>
  <c r="V8" i="1"/>
  <c r="V8" i="3" s="1"/>
  <c r="T8" i="1"/>
  <c r="T8" i="3" s="1"/>
  <c r="O9" i="1"/>
  <c r="R8" i="1"/>
  <c r="R8" i="3" s="1"/>
  <c r="J139" i="1"/>
  <c r="H139" i="1"/>
  <c r="E24" i="1"/>
  <c r="P8" i="1"/>
  <c r="P8" i="3" s="1"/>
  <c r="H21" i="1"/>
  <c r="J21" i="1"/>
  <c r="E31" i="1"/>
  <c r="J134" i="1"/>
  <c r="H134" i="1"/>
  <c r="J55" i="1"/>
  <c r="H55" i="1"/>
  <c r="H120" i="1"/>
  <c r="J12" i="1"/>
  <c r="H17" i="1"/>
  <c r="Q7" i="1" l="1"/>
  <c r="Q7" i="3" s="1"/>
  <c r="J59" i="1"/>
  <c r="H45" i="1"/>
  <c r="H39" i="1"/>
  <c r="Q8" i="1"/>
  <c r="Q8" i="3" s="1"/>
  <c r="J31" i="1"/>
  <c r="H31" i="1"/>
  <c r="T9" i="1"/>
  <c r="T9" i="3" s="1"/>
  <c r="R9" i="1"/>
  <c r="R9" i="3" s="1"/>
  <c r="O10" i="1"/>
  <c r="S9" i="1"/>
  <c r="S9" i="3" s="1"/>
  <c r="P9" i="1"/>
  <c r="P9" i="3" s="1"/>
  <c r="V9" i="1"/>
  <c r="V9" i="3" s="1"/>
  <c r="Y8" i="1"/>
  <c r="W8" i="1"/>
  <c r="AA8" i="1"/>
  <c r="Z8" i="1"/>
  <c r="Z8" i="3" s="1"/>
  <c r="X7" i="1"/>
  <c r="X7" i="3" s="1"/>
  <c r="J24" i="1"/>
  <c r="H24" i="1"/>
  <c r="H78" i="1"/>
  <c r="J78" i="1"/>
  <c r="Y8" i="3" l="1"/>
  <c r="AA8" i="3"/>
  <c r="W8" i="3"/>
  <c r="Q9" i="1"/>
  <c r="Q9" i="3" s="1"/>
  <c r="X8" i="1"/>
  <c r="X8" i="3" s="1"/>
  <c r="AB8" i="1"/>
  <c r="AB8" i="3" s="1"/>
  <c r="R10" i="1"/>
  <c r="R10" i="3" s="1"/>
  <c r="S10" i="1"/>
  <c r="S10" i="3" s="1"/>
  <c r="O11" i="1"/>
  <c r="P10" i="1"/>
  <c r="P10" i="3" s="1"/>
  <c r="T10" i="1"/>
  <c r="T10" i="3" s="1"/>
  <c r="Y9" i="1"/>
  <c r="Y9" i="3" s="1"/>
  <c r="V10" i="1"/>
  <c r="V10" i="3" s="1"/>
  <c r="W9" i="1"/>
  <c r="W9" i="3" s="1"/>
  <c r="Z9" i="1"/>
  <c r="Z9" i="3" s="1"/>
  <c r="AA9" i="1"/>
  <c r="AA9" i="3" s="1"/>
  <c r="X9" i="1" l="1"/>
  <c r="X9" i="3" s="1"/>
  <c r="AB9" i="1"/>
  <c r="AB9" i="3" s="1"/>
  <c r="S11" i="1"/>
  <c r="S11" i="3" s="1"/>
  <c r="R11" i="1"/>
  <c r="R11" i="3" s="1"/>
  <c r="P11" i="1"/>
  <c r="P11" i="3" s="1"/>
  <c r="O12" i="1"/>
  <c r="T11" i="1"/>
  <c r="T11" i="3" s="1"/>
  <c r="Q10" i="1"/>
  <c r="Q10" i="3" s="1"/>
  <c r="AA10" i="1"/>
  <c r="W10" i="1"/>
  <c r="W10" i="3" s="1"/>
  <c r="V11" i="1"/>
  <c r="V11" i="3" s="1"/>
  <c r="Z10" i="1"/>
  <c r="Z10" i="3" s="1"/>
  <c r="Y10" i="1"/>
  <c r="Y10" i="3" s="1"/>
  <c r="AA10" i="3" l="1"/>
  <c r="AA11" i="1"/>
  <c r="AA11" i="3" s="1"/>
  <c r="V12" i="1"/>
  <c r="V12" i="3" s="1"/>
  <c r="W11" i="1"/>
  <c r="W11" i="3" s="1"/>
  <c r="Z11" i="1"/>
  <c r="Z11" i="3" s="1"/>
  <c r="Y11" i="1"/>
  <c r="Y11" i="3" s="1"/>
  <c r="AB10" i="1"/>
  <c r="AB10" i="3" s="1"/>
  <c r="X10" i="1"/>
  <c r="X10" i="3" s="1"/>
  <c r="Q11" i="1"/>
  <c r="Q11" i="3" s="1"/>
  <c r="O13" i="1"/>
  <c r="T13" i="1" s="1"/>
  <c r="T13" i="3" s="1"/>
  <c r="P12" i="1"/>
  <c r="P12" i="3" s="1"/>
  <c r="T12" i="1"/>
  <c r="T12" i="3" s="1"/>
  <c r="S12" i="1"/>
  <c r="S12" i="3" s="1"/>
  <c r="R12" i="1"/>
  <c r="R12" i="3" s="1"/>
  <c r="Q12" i="1" l="1"/>
  <c r="Q12" i="3" s="1"/>
  <c r="V13" i="1"/>
  <c r="V13" i="3" s="1"/>
  <c r="Y12" i="1"/>
  <c r="Y12" i="3" s="1"/>
  <c r="Z12" i="1"/>
  <c r="Z12" i="3" s="1"/>
  <c r="AA12" i="1"/>
  <c r="AA12" i="3" s="1"/>
  <c r="W12" i="1"/>
  <c r="AB11" i="1"/>
  <c r="AB11" i="3" s="1"/>
  <c r="X11" i="1"/>
  <c r="X11" i="3" s="1"/>
  <c r="S13" i="1"/>
  <c r="S13" i="3" s="1"/>
  <c r="P13" i="1"/>
  <c r="P13" i="3" s="1"/>
  <c r="R13" i="1"/>
  <c r="R13" i="3" s="1"/>
  <c r="O14" i="1"/>
  <c r="W12" i="3" l="1"/>
  <c r="AB12" i="1"/>
  <c r="AB12" i="3" s="1"/>
  <c r="X12" i="1"/>
  <c r="X12" i="3" s="1"/>
  <c r="Z13" i="1"/>
  <c r="Z13" i="3" s="1"/>
  <c r="W13" i="1"/>
  <c r="W13" i="3" s="1"/>
  <c r="Y13" i="1"/>
  <c r="Y13" i="3" s="1"/>
  <c r="V14" i="1"/>
  <c r="V14" i="3" s="1"/>
  <c r="AA13" i="1"/>
  <c r="AA13" i="3" s="1"/>
  <c r="R14" i="1"/>
  <c r="R14" i="3" s="1"/>
  <c r="T14" i="1"/>
  <c r="T14" i="3" s="1"/>
  <c r="S14" i="1"/>
  <c r="S14" i="3" s="1"/>
  <c r="O15" i="1"/>
  <c r="P14" i="1"/>
  <c r="P14" i="3" s="1"/>
  <c r="Q13" i="1"/>
  <c r="Q13" i="3" s="1"/>
  <c r="O16" i="1" l="1"/>
  <c r="T15" i="1"/>
  <c r="T15" i="3" s="1"/>
  <c r="R15" i="1"/>
  <c r="R15" i="3" s="1"/>
  <c r="S15" i="1"/>
  <c r="S15" i="3" s="1"/>
  <c r="P15" i="1"/>
  <c r="P15" i="3" s="1"/>
  <c r="Q14" i="1"/>
  <c r="Q14" i="3" s="1"/>
  <c r="W14" i="1"/>
  <c r="W14" i="3" s="1"/>
  <c r="V15" i="1"/>
  <c r="V15" i="3" s="1"/>
  <c r="AA14" i="1"/>
  <c r="AA14" i="3" s="1"/>
  <c r="Z14" i="1"/>
  <c r="Z14" i="3" s="1"/>
  <c r="Y14" i="1"/>
  <c r="Y14" i="3" s="1"/>
  <c r="X13" i="1"/>
  <c r="X13" i="3" s="1"/>
  <c r="AB13" i="1"/>
  <c r="AB13" i="3" s="1"/>
  <c r="W15" i="1" l="1"/>
  <c r="W15" i="3" s="1"/>
  <c r="V16" i="1"/>
  <c r="V16" i="3" s="1"/>
  <c r="AA15" i="1"/>
  <c r="AA15" i="3" s="1"/>
  <c r="Z15" i="1"/>
  <c r="Z15" i="3" s="1"/>
  <c r="Y15" i="1"/>
  <c r="Y15" i="3" s="1"/>
  <c r="Q15" i="1"/>
  <c r="Q15" i="3" s="1"/>
  <c r="X14" i="1"/>
  <c r="X14" i="3" s="1"/>
  <c r="AB14" i="1"/>
  <c r="AB14" i="3" s="1"/>
  <c r="R16" i="1"/>
  <c r="R16" i="3" s="1"/>
  <c r="O17" i="1"/>
  <c r="P16" i="1"/>
  <c r="P16" i="3" s="1"/>
  <c r="T16" i="1"/>
  <c r="T16" i="3" s="1"/>
  <c r="S16" i="1"/>
  <c r="S16" i="3" s="1"/>
  <c r="Q16" i="1" l="1"/>
  <c r="Q16" i="3" s="1"/>
  <c r="V17" i="1"/>
  <c r="V17" i="3" s="1"/>
  <c r="Y16" i="1"/>
  <c r="Y16" i="3" s="1"/>
  <c r="AA16" i="1"/>
  <c r="AA16" i="3" s="1"/>
  <c r="Z16" i="1"/>
  <c r="Z16" i="3" s="1"/>
  <c r="W16" i="1"/>
  <c r="W16" i="3" s="1"/>
  <c r="X15" i="1"/>
  <c r="X15" i="3" s="1"/>
  <c r="AB15" i="1"/>
  <c r="AB15" i="3" s="1"/>
  <c r="P17" i="1"/>
  <c r="P17" i="3" s="1"/>
  <c r="O18" i="1"/>
  <c r="S17" i="1"/>
  <c r="S17" i="3" s="1"/>
  <c r="R17" i="1"/>
  <c r="R17" i="3" s="1"/>
  <c r="T17" i="1"/>
  <c r="T17" i="3" s="1"/>
  <c r="AB16" i="1" l="1"/>
  <c r="AB16" i="3" s="1"/>
  <c r="X16" i="1"/>
  <c r="X16" i="3" s="1"/>
  <c r="Q17" i="1"/>
  <c r="Q17" i="3" s="1"/>
  <c r="AA17" i="1"/>
  <c r="AA17" i="3" s="1"/>
  <c r="Y17" i="1"/>
  <c r="Y17" i="3" s="1"/>
  <c r="Z17" i="1"/>
  <c r="Z17" i="3" s="1"/>
  <c r="W17" i="1"/>
  <c r="W17" i="3" s="1"/>
  <c r="V18" i="1"/>
  <c r="V18" i="3" s="1"/>
  <c r="O19" i="1"/>
  <c r="T18" i="1"/>
  <c r="T18" i="3" s="1"/>
  <c r="P18" i="1"/>
  <c r="P18" i="3" s="1"/>
  <c r="S18" i="1"/>
  <c r="S18" i="3" s="1"/>
  <c r="R18" i="1"/>
  <c r="R18" i="3" s="1"/>
  <c r="AB17" i="1" l="1"/>
  <c r="AB17" i="3" s="1"/>
  <c r="X17" i="1"/>
  <c r="X17" i="3" s="1"/>
  <c r="T19" i="1"/>
  <c r="T19" i="3" s="1"/>
  <c r="P19" i="1"/>
  <c r="P19" i="3" s="1"/>
  <c r="S19" i="1"/>
  <c r="S19" i="3" s="1"/>
  <c r="R19" i="1"/>
  <c r="R19" i="3" s="1"/>
  <c r="O20" i="1"/>
  <c r="Y18" i="1"/>
  <c r="Y18" i="3" s="1"/>
  <c r="AA18" i="1"/>
  <c r="AA18" i="3" s="1"/>
  <c r="V19" i="1"/>
  <c r="V19" i="3" s="1"/>
  <c r="Z18" i="1"/>
  <c r="Z18" i="3" s="1"/>
  <c r="W18" i="1"/>
  <c r="W18" i="3" s="1"/>
  <c r="Q18" i="1"/>
  <c r="Q18" i="3" s="1"/>
  <c r="Q19" i="1" l="1"/>
  <c r="Q19" i="3" s="1"/>
  <c r="O21" i="1"/>
  <c r="T20" i="1"/>
  <c r="T20" i="3" s="1"/>
  <c r="R20" i="1"/>
  <c r="R20" i="3" s="1"/>
  <c r="S20" i="1"/>
  <c r="S20" i="3" s="1"/>
  <c r="P20" i="1"/>
  <c r="P20" i="3" s="1"/>
  <c r="Z19" i="1"/>
  <c r="Z19" i="3" s="1"/>
  <c r="W19" i="1"/>
  <c r="W19" i="3" s="1"/>
  <c r="Y19" i="1"/>
  <c r="Y19" i="3" s="1"/>
  <c r="V20" i="1"/>
  <c r="V20" i="3" s="1"/>
  <c r="AA19" i="1"/>
  <c r="AA19" i="3" s="1"/>
  <c r="AB18" i="1"/>
  <c r="AB18" i="3" s="1"/>
  <c r="X18" i="1"/>
  <c r="X18" i="3" s="1"/>
  <c r="Q20" i="1" l="1"/>
  <c r="Q20" i="3" s="1"/>
  <c r="Y20" i="1"/>
  <c r="Y20" i="3" s="1"/>
  <c r="V21" i="1"/>
  <c r="V21" i="3" s="1"/>
  <c r="W20" i="1"/>
  <c r="W20" i="3" s="1"/>
  <c r="Z20" i="1"/>
  <c r="Z20" i="3" s="1"/>
  <c r="AA20" i="1"/>
  <c r="AA20" i="3" s="1"/>
  <c r="AB19" i="1"/>
  <c r="AB19" i="3" s="1"/>
  <c r="X19" i="1"/>
  <c r="X19" i="3" s="1"/>
  <c r="T21" i="1"/>
  <c r="T21" i="3" s="1"/>
  <c r="S21" i="1"/>
  <c r="S21" i="3" s="1"/>
  <c r="O22" i="1"/>
  <c r="R21" i="1"/>
  <c r="R21" i="3" s="1"/>
  <c r="P21" i="1"/>
  <c r="P21" i="3" s="1"/>
  <c r="Q21" i="1" l="1"/>
  <c r="Q21" i="3" s="1"/>
  <c r="P22" i="1"/>
  <c r="P22" i="3" s="1"/>
  <c r="R22" i="1"/>
  <c r="R22" i="3" s="1"/>
  <c r="T22" i="1"/>
  <c r="T22" i="3" s="1"/>
  <c r="S22" i="1"/>
  <c r="S22" i="3" s="1"/>
  <c r="O23" i="1"/>
  <c r="V22" i="1"/>
  <c r="V22" i="3" s="1"/>
  <c r="Y21" i="1"/>
  <c r="Y21" i="3" s="1"/>
  <c r="W21" i="1"/>
  <c r="W21" i="3" s="1"/>
  <c r="AA21" i="1"/>
  <c r="AA21" i="3" s="1"/>
  <c r="Z21" i="1"/>
  <c r="Z21" i="3" s="1"/>
  <c r="X20" i="1"/>
  <c r="X20" i="3" s="1"/>
  <c r="AB20" i="1"/>
  <c r="AB20" i="3" s="1"/>
  <c r="O24" i="1" l="1"/>
  <c r="S23" i="1"/>
  <c r="S23" i="3" s="1"/>
  <c r="R23" i="1"/>
  <c r="R23" i="3" s="1"/>
  <c r="T23" i="1"/>
  <c r="T23" i="3" s="1"/>
  <c r="P23" i="1"/>
  <c r="P23" i="3" s="1"/>
  <c r="X21" i="1"/>
  <c r="X21" i="3" s="1"/>
  <c r="AB21" i="1"/>
  <c r="AB21" i="3" s="1"/>
  <c r="Q22" i="1"/>
  <c r="Q22" i="3" s="1"/>
  <c r="V23" i="1"/>
  <c r="V23" i="3" s="1"/>
  <c r="Z22" i="1"/>
  <c r="Z22" i="3" s="1"/>
  <c r="AA22" i="1"/>
  <c r="AA22" i="3" s="1"/>
  <c r="W22" i="1"/>
  <c r="W22" i="3" s="1"/>
  <c r="Y22" i="1"/>
  <c r="Y22" i="3" s="1"/>
  <c r="Y23" i="1" l="1"/>
  <c r="Y23" i="3" s="1"/>
  <c r="AA23" i="1"/>
  <c r="AA23" i="3" s="1"/>
  <c r="V24" i="1"/>
  <c r="V24" i="3" s="1"/>
  <c r="Z23" i="1"/>
  <c r="Z23" i="3" s="1"/>
  <c r="W23" i="1"/>
  <c r="W23" i="3" s="1"/>
  <c r="Q23" i="1"/>
  <c r="Q23" i="3" s="1"/>
  <c r="AB22" i="1"/>
  <c r="AB22" i="3" s="1"/>
  <c r="X22" i="1"/>
  <c r="X22" i="3" s="1"/>
  <c r="T24" i="1"/>
  <c r="T24" i="3" s="1"/>
  <c r="R24" i="1"/>
  <c r="R24" i="3" s="1"/>
  <c r="S24" i="1"/>
  <c r="S24" i="3" s="1"/>
  <c r="P24" i="1"/>
  <c r="P24" i="3" s="1"/>
  <c r="O25" i="1"/>
  <c r="R25" i="1" l="1"/>
  <c r="R25" i="3" s="1"/>
  <c r="T25" i="1"/>
  <c r="T25" i="3" s="1"/>
  <c r="O26" i="1"/>
  <c r="S25" i="1"/>
  <c r="S25" i="3" s="1"/>
  <c r="P25" i="1"/>
  <c r="P25" i="3" s="1"/>
  <c r="Y24" i="1"/>
  <c r="Y24" i="3" s="1"/>
  <c r="V25" i="1"/>
  <c r="V25" i="3" s="1"/>
  <c r="W24" i="1"/>
  <c r="W24" i="3" s="1"/>
  <c r="AA24" i="1"/>
  <c r="AA24" i="3" s="1"/>
  <c r="Z24" i="1"/>
  <c r="Z24" i="3" s="1"/>
  <c r="AB23" i="1"/>
  <c r="AB23" i="3" s="1"/>
  <c r="X23" i="1"/>
  <c r="X23" i="3" s="1"/>
  <c r="Q24" i="1"/>
  <c r="Q24" i="3" s="1"/>
  <c r="W25" i="1" l="1"/>
  <c r="W25" i="3" s="1"/>
  <c r="AA25" i="1"/>
  <c r="AA25" i="3" s="1"/>
  <c r="Z25" i="1"/>
  <c r="Z25" i="3" s="1"/>
  <c r="Y25" i="1"/>
  <c r="Y25" i="3" s="1"/>
  <c r="V26" i="1"/>
  <c r="V26" i="3" s="1"/>
  <c r="O27" i="1"/>
  <c r="P26" i="1"/>
  <c r="P26" i="3" s="1"/>
  <c r="T26" i="1"/>
  <c r="T26" i="3" s="1"/>
  <c r="S26" i="1"/>
  <c r="S26" i="3" s="1"/>
  <c r="R26" i="1"/>
  <c r="R26" i="3" s="1"/>
  <c r="X24" i="1"/>
  <c r="X24" i="3" s="1"/>
  <c r="AB24" i="1"/>
  <c r="AB24" i="3" s="1"/>
  <c r="Q25" i="1"/>
  <c r="Q25" i="3" s="1"/>
  <c r="Q26" i="1" l="1"/>
  <c r="Q26" i="3" s="1"/>
  <c r="O28" i="1"/>
  <c r="R27" i="1"/>
  <c r="R27" i="3" s="1"/>
  <c r="S27" i="1"/>
  <c r="S27" i="3" s="1"/>
  <c r="T27" i="1"/>
  <c r="T27" i="3" s="1"/>
  <c r="P27" i="1"/>
  <c r="P27" i="3" s="1"/>
  <c r="V27" i="1"/>
  <c r="V27" i="3" s="1"/>
  <c r="Y26" i="1"/>
  <c r="Y26" i="3" s="1"/>
  <c r="Z26" i="1"/>
  <c r="Z26" i="3" s="1"/>
  <c r="AA26" i="1"/>
  <c r="AA26" i="3" s="1"/>
  <c r="W26" i="1"/>
  <c r="W26" i="3" s="1"/>
  <c r="X25" i="1"/>
  <c r="X25" i="3" s="1"/>
  <c r="AB25" i="1"/>
  <c r="AB25" i="3" s="1"/>
  <c r="Z27" i="1" l="1"/>
  <c r="Z27" i="3" s="1"/>
  <c r="AA27" i="1"/>
  <c r="AA27" i="3" s="1"/>
  <c r="V28" i="1"/>
  <c r="V28" i="3" s="1"/>
  <c r="Y27" i="1"/>
  <c r="Y27" i="3" s="1"/>
  <c r="W27" i="1"/>
  <c r="W27" i="3" s="1"/>
  <c r="Q27" i="1"/>
  <c r="Q27" i="3" s="1"/>
  <c r="T28" i="1"/>
  <c r="T28" i="3" s="1"/>
  <c r="O29" i="1"/>
  <c r="S28" i="1"/>
  <c r="S28" i="3" s="1"/>
  <c r="P28" i="1"/>
  <c r="P28" i="3" s="1"/>
  <c r="R28" i="1"/>
  <c r="R28" i="3" s="1"/>
  <c r="AB26" i="1"/>
  <c r="AB26" i="3" s="1"/>
  <c r="X26" i="1"/>
  <c r="X26" i="3" s="1"/>
  <c r="P29" i="1" l="1"/>
  <c r="P29" i="3" s="1"/>
  <c r="T29" i="1"/>
  <c r="T29" i="3" s="1"/>
  <c r="R29" i="1"/>
  <c r="R29" i="3" s="1"/>
  <c r="S29" i="1"/>
  <c r="S29" i="3" s="1"/>
  <c r="O30" i="1"/>
  <c r="AB27" i="1"/>
  <c r="AB27" i="3" s="1"/>
  <c r="X27" i="1"/>
  <c r="X27" i="3" s="1"/>
  <c r="V29" i="1"/>
  <c r="V29" i="3" s="1"/>
  <c r="Z28" i="1"/>
  <c r="Z28" i="3" s="1"/>
  <c r="Y28" i="1"/>
  <c r="Y28" i="3" s="1"/>
  <c r="W28" i="1"/>
  <c r="W28" i="3" s="1"/>
  <c r="AA28" i="1"/>
  <c r="AA28" i="3" s="1"/>
  <c r="Q28" i="1"/>
  <c r="Q28" i="3" s="1"/>
  <c r="Q29" i="1" l="1"/>
  <c r="Q29" i="3" s="1"/>
  <c r="X28" i="1"/>
  <c r="X28" i="3" s="1"/>
  <c r="AB28" i="1"/>
  <c r="AB28" i="3" s="1"/>
  <c r="S30" i="1"/>
  <c r="R30" i="1"/>
  <c r="R30" i="3" s="1"/>
  <c r="R31" i="3" s="1"/>
  <c r="R32" i="3" s="1"/>
  <c r="P30" i="1"/>
  <c r="T30" i="1"/>
  <c r="Z29" i="1"/>
  <c r="Z29" i="3" s="1"/>
  <c r="Y29" i="1"/>
  <c r="Y29" i="3" s="1"/>
  <c r="V30" i="1"/>
  <c r="V30" i="3" s="1"/>
  <c r="AA29" i="1"/>
  <c r="AA29" i="3" s="1"/>
  <c r="W29" i="1"/>
  <c r="W29" i="3" s="1"/>
  <c r="T31" i="1" l="1"/>
  <c r="T30" i="3"/>
  <c r="T31" i="3" s="1"/>
  <c r="P30" i="3"/>
  <c r="P31" i="3" s="1"/>
  <c r="P31" i="1"/>
  <c r="S31" i="1"/>
  <c r="S30" i="3"/>
  <c r="S31" i="3" s="1"/>
  <c r="S32" i="3" s="1"/>
  <c r="W30" i="1"/>
  <c r="AA30" i="1"/>
  <c r="Z30" i="1"/>
  <c r="Y30" i="1"/>
  <c r="Q30" i="1"/>
  <c r="R31" i="1"/>
  <c r="AB29" i="1"/>
  <c r="AB29" i="3" s="1"/>
  <c r="X29" i="1"/>
  <c r="X29" i="3" s="1"/>
  <c r="Z31" i="1" l="1"/>
  <c r="Z30" i="3"/>
  <c r="Z31" i="3" s="1"/>
  <c r="AA30" i="3"/>
  <c r="AA31" i="3" s="1"/>
  <c r="AA31" i="1"/>
  <c r="W30" i="3"/>
  <c r="W31" i="3" s="1"/>
  <c r="W31" i="1"/>
  <c r="Q31" i="1"/>
  <c r="Q30" i="3"/>
  <c r="Q31" i="3" s="1"/>
  <c r="Y30" i="3"/>
  <c r="Y31" i="3" s="1"/>
  <c r="Y31" i="1"/>
  <c r="Y32" i="1" s="1"/>
  <c r="AB30" i="1"/>
  <c r="AB30" i="3" s="1"/>
  <c r="X30" i="1"/>
  <c r="X31" i="1" l="1"/>
  <c r="X30" i="3"/>
  <c r="X31" i="3" s="1"/>
  <c r="Y32" i="3"/>
  <c r="AB31" i="3"/>
  <c r="AB3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<sst xmlns="http://schemas.openxmlformats.org/spreadsheetml/2006/main" count="286" uniqueCount="78">
  <si>
    <t>Provento Tipo</t>
  </si>
  <si>
    <t>Data ex-Direitos</t>
  </si>
  <si>
    <t>Data Pagamento</t>
  </si>
  <si>
    <t>Valor Total
(R$ mil)</t>
  </si>
  <si>
    <t>Proventos/Ação (R$)</t>
  </si>
  <si>
    <t>Lucro Líquido IFRS¹
(R$ mil)</t>
  </si>
  <si>
    <t>Payout
IFRS</t>
  </si>
  <si>
    <t>Lucro Líquido Regulatório¹
(R$ mil)</t>
  </si>
  <si>
    <t>Payout
Regulatório</t>
  </si>
  <si>
    <t>Ano Pgto</t>
  </si>
  <si>
    <t>Ano Base</t>
  </si>
  <si>
    <t>Ano de Pagamento</t>
  </si>
  <si>
    <t>JCP
(R$ mil)</t>
  </si>
  <si>
    <t>Dividendos 
(R$ mil)</t>
  </si>
  <si>
    <t>Total
(R$ mil)</t>
  </si>
  <si>
    <t>Proventos/
Ação</t>
  </si>
  <si>
    <t>Dividendos/
Ação</t>
  </si>
  <si>
    <t>Exercício Social
 (base)</t>
  </si>
  <si>
    <t>Lucro Líquido Regulatório (R$ Mil)</t>
  </si>
  <si>
    <t>Payout Regulatório</t>
  </si>
  <si>
    <t>JCP</t>
  </si>
  <si>
    <t>Dividendos</t>
  </si>
  <si>
    <t>Dividendos³</t>
  </si>
  <si>
    <t>Total</t>
  </si>
  <si>
    <t>N/A</t>
  </si>
  <si>
    <t>¹ Exclui a participação do acionista não controlador</t>
  </si>
  <si>
    <t>² Distribuição de dividendos com base na reserva constituída nas demonstrações financeiras relativas ao exercício de 2017</t>
  </si>
  <si>
    <t>³ Distribution of interim dividends on the constituted profit reserve</t>
  </si>
  <si>
    <t>Event</t>
  </si>
  <si>
    <t>Ex-Date</t>
  </si>
  <si>
    <t>Payment Date</t>
  </si>
  <si>
    <t>Total
(R$ thousand)</t>
  </si>
  <si>
    <t>Payment per share</t>
  </si>
  <si>
    <t>Net Result
IFRS 
(R$ thousand)</t>
  </si>
  <si>
    <t>Payout
(IFRS)</t>
  </si>
  <si>
    <t>Net Result
Regulatory
(R$ thousand)</t>
  </si>
  <si>
    <t>Payout
Regulatory</t>
  </si>
  <si>
    <t>Payment Year</t>
  </si>
  <si>
    <t>Fiscal Year</t>
  </si>
  <si>
    <t>IOE
(R$ thousand)</t>
  </si>
  <si>
    <t>Dividends
(R$ thousand)</t>
  </si>
  <si>
    <t>Dividends per share</t>
  </si>
  <si>
    <t>IOE</t>
  </si>
  <si>
    <t>Dividends</t>
  </si>
  <si>
    <t>Dividends³</t>
  </si>
  <si>
    <t xml:space="preserve">Dividends³ </t>
  </si>
  <si>
    <t xml:space="preserve">¹ Excludes a non-controlling shareholder participation
</t>
  </si>
  <si>
    <t>² Distribution of dividends, based on the reserve constituted in the financial statements regarding the year of 2017</t>
  </si>
  <si>
    <t>Mês:</t>
  </si>
  <si>
    <t>→Menu←</t>
  </si>
  <si>
    <t>Trim:</t>
  </si>
  <si>
    <t>3T25</t>
  </si>
  <si>
    <t>³ Distribuição de dividendos intermediários sobre a reserva de lucros constituída</t>
  </si>
  <si>
    <t>3Q25</t>
  </si>
  <si>
    <t>Tipo de Provento</t>
  </si>
  <si>
    <t>Data de Deliberação</t>
  </si>
  <si>
    <t>Base de Distribuição</t>
  </si>
  <si>
    <t>Base</t>
  </si>
  <si>
    <t>Ex-Direito</t>
  </si>
  <si>
    <t>Pagamento</t>
  </si>
  <si>
    <t>Volume (R$ milhões)</t>
  </si>
  <si>
    <t>R$ / Ação</t>
  </si>
  <si>
    <t>Juros Sobre Capital Próprio ("JCP")</t>
  </si>
  <si>
    <t>Resultado do Exercício Social do 1º Semestre de  2025</t>
  </si>
  <si>
    <t>Earning Type</t>
  </si>
  <si>
    <t>Deliberation Date</t>
  </si>
  <si>
    <t>Distribution Base</t>
  </si>
  <si>
    <t>Record Date</t>
  </si>
  <si>
    <t>Ex-right Date</t>
  </si>
  <si>
    <t>Total (R$ million)</t>
  </si>
  <si>
    <t>R$ / share</t>
  </si>
  <si>
    <t>Interest on Equity ("IOE")</t>
  </si>
  <si>
    <t>Result of the fiscal year 2025 (1st half 2025)</t>
  </si>
  <si>
    <t>30/oct/25</t>
  </si>
  <si>
    <t>17/dec/25</t>
  </si>
  <si>
    <t>31/oct/25</t>
  </si>
  <si>
    <t>18/dec/25</t>
  </si>
  <si>
    <t>29/sep/25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</si>
</sst>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"/>
    <numFmt numFmtId="165" formatCode="#,##0.0;\-#,##0.0"/>
    <numFmt numFmtId="166" formatCode="_-* #,##0_-;\-* #,##0_-;_-* &quot;-&quot;??_-;_-@_-"/>
    <numFmt numFmtId="167" formatCode="_-&quot;R$&quot;\ * #,##0.00000_-;\-&quot;R$&quot;\ * #,##0.00000_-;_-&quot;R$&quot;\ * &quot;-&quot;??_-;_-@_-"/>
    <numFmt numFmtId="168" formatCode="0.0%"/>
    <numFmt numFmtId="169" formatCode="_-* #,##0.0_-;\-* #,##0.0_-;_-* &quot;-&quot;??_-;_-@_-"/>
    <numFmt numFmtId="170" formatCode="_-* #,##0_-;\-* #,##0_-;_-* &quot;-&quot;????_-;_-@_-"/>
    <numFmt numFmtId="171" formatCode="_-* #,##0.0000_-;\-* #,##0.0000_-;_-* &quot;-&quot;????_-;_-@_-"/>
    <numFmt numFmtId="172" formatCode="_-* #,##0.00000_-;\-* #,##0.00000_-;_-* &quot;-&quot;??_-;_-@_-"/>
    <numFmt numFmtId="173" formatCode="_-* #,##0.000000_-;\-* #,##0.000000_-;_-* &quot;-&quot;??_-;_-@_-"/>
    <numFmt numFmtId="174" formatCode="mm/dd/yy;@"/>
    <numFmt numFmtId="175" formatCode="[$-416]mmm\-yy;@"/>
    <numFmt numFmtId="179" formatCode="_-&quot;R$&quot;\ * #,##0_-;\-&quot;R$&quot;\ * #,##0_-;_-&quot;R$&quot;\ * &quot;-&quot;??_-;_-@_-"/>
    <numFmt numFmtId="189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 tint="-0.249977111117893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2"/>
      <color theme="0" tint="-0.499984740745262"/>
      <name val="Arial"/>
      <family val="2"/>
    </font>
    <font>
      <sz val="12"/>
      <color theme="0" tint="-0.249977111117893"/>
      <name val="Aptos Narrow"/>
      <family val="2"/>
      <scheme val="minor"/>
    </font>
    <font>
      <sz val="12"/>
      <color rgb="FF686868"/>
      <name val="Arial"/>
      <family val="2"/>
    </font>
    <font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u/>
      <sz val="11"/>
      <color rgb="FFFFFFFF"/>
      <name val="Arial"/>
      <family val="2"/>
    </font>
    <font>
      <b/>
      <sz val="10"/>
      <color rgb="FFFFFFFF"/>
      <name val="Tahoma"/>
      <family val="2"/>
    </font>
    <font>
      <sz val="10"/>
      <color rgb="FF686868"/>
      <name val="Tahoma"/>
      <family val="2"/>
    </font>
    <font>
      <b/>
      <sz val="10"/>
      <color rgb="FF686868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AC9"/>
        <bgColor indexed="64"/>
      </patternFill>
    </fill>
    <fill>
      <patternFill patternType="solid">
        <fgColor rgb="FFF4F4F4"/>
        <bgColor indexed="64"/>
      </patternFill>
    </fill>
  </fills>
  <borders count="50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499984740745262"/>
      </left>
      <right/>
      <top style="medium">
        <color theme="0" tint="-0.14993743705557422"/>
      </top>
      <bottom style="medium">
        <color theme="0" tint="-0.24994659260841701"/>
      </bottom>
      <diagonal/>
    </border>
    <border>
      <left/>
      <right/>
      <top style="medium">
        <color theme="0" tint="-0.14993743705557422"/>
      </top>
      <bottom style="medium">
        <color theme="0" tint="-0.24994659260841701"/>
      </bottom>
      <diagonal/>
    </border>
    <border>
      <left/>
      <right style="thin">
        <color theme="0" tint="-0.499984740745262"/>
      </right>
      <top style="medium">
        <color theme="0" tint="-0.14993743705557422"/>
      </top>
      <bottom style="medium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499984740745262"/>
      </left>
      <right style="medium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rgb="FFDBDBDB"/>
      </right>
      <top/>
      <bottom/>
      <diagonal/>
    </border>
    <border>
      <left/>
      <right style="medium">
        <color rgb="FFDBDBDB"/>
      </right>
      <top/>
      <bottom style="dotted">
        <color rgb="FFDBDBDB"/>
      </bottom>
      <diagonal/>
    </border>
    <border>
      <left/>
      <right/>
      <top/>
      <bottom style="dotted">
        <color rgb="FFDBDBDB"/>
      </bottom>
      <diagonal/>
    </border>
    <border>
      <left style="medium">
        <color rgb="FFDBDBDB"/>
      </left>
      <right style="medium">
        <color rgb="FFDBDBDB"/>
      </right>
      <top/>
      <bottom/>
      <diagonal/>
    </border>
    <border>
      <left style="medium">
        <color rgb="FFDBDBDB"/>
      </left>
      <right style="medium">
        <color rgb="FFDBDBDB"/>
      </right>
      <top/>
      <bottom style="dotted">
        <color rgb="FFDBDBDB"/>
      </bottom>
      <diagonal/>
    </border>
    <border>
      <left/>
      <right/>
      <top style="dotted">
        <color rgb="FFDBDBDB"/>
      </top>
      <bottom style="dotted">
        <color rgb="FFDBDBDB"/>
      </bottom>
      <diagonal/>
    </border>
    <border>
      <left/>
      <right style="medium">
        <color rgb="FFDBDBDB"/>
      </right>
      <top style="dotted">
        <color rgb="FFDBDBDB"/>
      </top>
      <bottom style="dotted">
        <color rgb="FFDBDBD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</cellStyleXfs>
  <cellXfs count="138">
    <xf numFmtId="0" fontId="0" fillId="0" borderId="0" xfId="0"/>
    <xf numFmtId="0" fontId="2" fillId="0" borderId="0" xfId="0" applyFont="1"/>
    <xf numFmtId="1" fontId="4" fillId="2" borderId="1" xfId="4" applyNumberFormat="1" applyFont="1" applyFill="1" applyBorder="1" applyAlignment="1">
      <alignment horizontal="center" vertical="center" wrapText="1"/>
    </xf>
    <xf numFmtId="3" fontId="4" fillId="2" borderId="1" xfId="4" applyNumberFormat="1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1" fontId="7" fillId="3" borderId="2" xfId="5" applyNumberFormat="1" applyFont="1" applyFill="1" applyBorder="1" applyAlignment="1">
      <alignment horizontal="center"/>
    </xf>
    <xf numFmtId="165" fontId="7" fillId="3" borderId="3" xfId="1" applyNumberFormat="1" applyFont="1" applyFill="1" applyBorder="1" applyAlignment="1">
      <alignment horizontal="center" vertical="center"/>
    </xf>
    <xf numFmtId="3" fontId="7" fillId="3" borderId="3" xfId="1" applyNumberFormat="1" applyFont="1" applyFill="1" applyBorder="1" applyAlignment="1">
      <alignment horizontal="center" vertical="center"/>
    </xf>
    <xf numFmtId="164" fontId="7" fillId="3" borderId="3" xfId="1" applyNumberFormat="1" applyFont="1" applyFill="1" applyBorder="1" applyAlignment="1">
      <alignment horizontal="center" vertical="center"/>
    </xf>
    <xf numFmtId="9" fontId="7" fillId="3" borderId="3" xfId="3" applyFont="1" applyFill="1" applyBorder="1" applyAlignment="1">
      <alignment horizontal="center" vertical="center"/>
    </xf>
    <xf numFmtId="9" fontId="7" fillId="3" borderId="4" xfId="3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166" fontId="8" fillId="4" borderId="6" xfId="1" applyNumberFormat="1" applyFont="1" applyFill="1" applyBorder="1"/>
    <xf numFmtId="166" fontId="8" fillId="4" borderId="6" xfId="0" applyNumberFormat="1" applyFont="1" applyFill="1" applyBorder="1" applyAlignment="1">
      <alignment horizontal="center"/>
    </xf>
    <xf numFmtId="167" fontId="8" fillId="4" borderId="7" xfId="2" applyNumberFormat="1" applyFont="1" applyFill="1" applyBorder="1" applyAlignment="1">
      <alignment horizontal="center"/>
    </xf>
    <xf numFmtId="166" fontId="8" fillId="4" borderId="8" xfId="1" applyNumberFormat="1" applyFont="1" applyFill="1" applyBorder="1"/>
    <xf numFmtId="166" fontId="8" fillId="4" borderId="8" xfId="0" applyNumberFormat="1" applyFont="1" applyFill="1" applyBorder="1" applyAlignment="1">
      <alignment horizontal="center"/>
    </xf>
    <xf numFmtId="9" fontId="8" fillId="4" borderId="9" xfId="3" applyFont="1" applyFill="1" applyBorder="1" applyAlignment="1">
      <alignment horizontal="center"/>
    </xf>
    <xf numFmtId="0" fontId="2" fillId="4" borderId="0" xfId="0" applyFont="1" applyFill="1"/>
    <xf numFmtId="37" fontId="9" fillId="0" borderId="10" xfId="0" applyNumberFormat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9" fontId="9" fillId="0" borderId="11" xfId="3" applyFont="1" applyBorder="1" applyAlignment="1">
      <alignment horizontal="center" vertical="center"/>
    </xf>
    <xf numFmtId="9" fontId="9" fillId="0" borderId="12" xfId="3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/>
    </xf>
    <xf numFmtId="166" fontId="8" fillId="5" borderId="6" xfId="1" applyNumberFormat="1" applyFont="1" applyFill="1" applyBorder="1"/>
    <xf numFmtId="166" fontId="8" fillId="5" borderId="6" xfId="0" applyNumberFormat="1" applyFont="1" applyFill="1" applyBorder="1" applyAlignment="1">
      <alignment horizontal="center"/>
    </xf>
    <xf numFmtId="167" fontId="8" fillId="5" borderId="7" xfId="2" applyNumberFormat="1" applyFont="1" applyFill="1" applyBorder="1" applyAlignment="1">
      <alignment horizontal="center"/>
    </xf>
    <xf numFmtId="166" fontId="8" fillId="5" borderId="8" xfId="1" applyNumberFormat="1" applyFont="1" applyFill="1" applyBorder="1"/>
    <xf numFmtId="166" fontId="8" fillId="5" borderId="8" xfId="0" applyNumberFormat="1" applyFont="1" applyFill="1" applyBorder="1" applyAlignment="1">
      <alignment horizontal="center"/>
    </xf>
    <xf numFmtId="9" fontId="8" fillId="5" borderId="9" xfId="3" applyFont="1" applyFill="1" applyBorder="1" applyAlignment="1">
      <alignment horizontal="center"/>
    </xf>
    <xf numFmtId="0" fontId="10" fillId="0" borderId="0" xfId="0" applyFont="1"/>
    <xf numFmtId="166" fontId="5" fillId="0" borderId="0" xfId="1" applyNumberFormat="1" applyFont="1"/>
    <xf numFmtId="0" fontId="6" fillId="4" borderId="0" xfId="0" applyFont="1" applyFill="1"/>
    <xf numFmtId="0" fontId="11" fillId="5" borderId="13" xfId="0" applyFont="1" applyFill="1" applyBorder="1" applyAlignment="1">
      <alignment horizontal="center" vertical="center" wrapText="1"/>
    </xf>
    <xf numFmtId="14" fontId="11" fillId="5" borderId="14" xfId="0" applyNumberFormat="1" applyFont="1" applyFill="1" applyBorder="1" applyAlignment="1">
      <alignment horizontal="center" vertical="center" wrapText="1"/>
    </xf>
    <xf numFmtId="14" fontId="11" fillId="5" borderId="15" xfId="0" applyNumberFormat="1" applyFont="1" applyFill="1" applyBorder="1" applyAlignment="1">
      <alignment horizontal="center" vertical="center" wrapText="1"/>
    </xf>
    <xf numFmtId="3" fontId="11" fillId="5" borderId="16" xfId="0" applyNumberFormat="1" applyFont="1" applyFill="1" applyBorder="1" applyAlignment="1">
      <alignment horizontal="center" vertical="center" wrapText="1"/>
    </xf>
    <xf numFmtId="164" fontId="11" fillId="5" borderId="16" xfId="0" applyNumberFormat="1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168" fontId="6" fillId="0" borderId="0" xfId="3" applyNumberFormat="1" applyFont="1"/>
    <xf numFmtId="166" fontId="6" fillId="0" borderId="0" xfId="1" applyNumberFormat="1" applyFont="1"/>
    <xf numFmtId="3" fontId="11" fillId="5" borderId="18" xfId="0" applyNumberFormat="1" applyFont="1" applyFill="1" applyBorder="1" applyAlignment="1">
      <alignment horizontal="center" vertic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14" fontId="11" fillId="5" borderId="16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166" fontId="4" fillId="6" borderId="20" xfId="0" applyNumberFormat="1" applyFont="1" applyFill="1" applyBorder="1" applyAlignment="1">
      <alignment horizontal="center" vertical="center"/>
    </xf>
    <xf numFmtId="167" fontId="4" fillId="6" borderId="21" xfId="2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66" fontId="4" fillId="6" borderId="23" xfId="0" applyNumberFormat="1" applyFont="1" applyFill="1" applyBorder="1" applyAlignment="1">
      <alignment horizontal="center" vertical="center"/>
    </xf>
    <xf numFmtId="9" fontId="4" fillId="6" borderId="24" xfId="3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169" fontId="12" fillId="0" borderId="0" xfId="0" applyNumberFormat="1" applyFont="1"/>
    <xf numFmtId="168" fontId="12" fillId="0" borderId="0" xfId="3" applyNumberFormat="1" applyFont="1" applyAlignment="1">
      <alignment horizontal="center"/>
    </xf>
    <xf numFmtId="168" fontId="6" fillId="4" borderId="0" xfId="3" applyNumberFormat="1" applyFont="1" applyFill="1" applyAlignment="1">
      <alignment horizontal="center"/>
    </xf>
    <xf numFmtId="168" fontId="6" fillId="0" borderId="0" xfId="3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3" fontId="11" fillId="5" borderId="26" xfId="0" applyNumberFormat="1" applyFont="1" applyFill="1" applyBorder="1" applyAlignment="1">
      <alignment horizontal="center" vertical="center" wrapText="1"/>
    </xf>
    <xf numFmtId="164" fontId="11" fillId="5" borderId="26" xfId="0" applyNumberFormat="1" applyFont="1" applyFill="1" applyBorder="1" applyAlignment="1">
      <alignment horizontal="center" vertical="center" wrapText="1"/>
    </xf>
    <xf numFmtId="166" fontId="11" fillId="5" borderId="27" xfId="1" applyNumberFormat="1" applyFont="1" applyFill="1" applyBorder="1" applyAlignment="1">
      <alignment horizontal="center" vertical="center" wrapText="1"/>
    </xf>
    <xf numFmtId="166" fontId="11" fillId="5" borderId="28" xfId="1" applyNumberFormat="1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14" fontId="11" fillId="5" borderId="30" xfId="0" applyNumberFormat="1" applyFont="1" applyFill="1" applyBorder="1" applyAlignment="1">
      <alignment horizontal="center" vertical="center" wrapText="1"/>
    </xf>
    <xf numFmtId="14" fontId="11" fillId="5" borderId="31" xfId="0" applyNumberFormat="1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14" fontId="11" fillId="7" borderId="33" xfId="0" applyNumberFormat="1" applyFont="1" applyFill="1" applyBorder="1" applyAlignment="1">
      <alignment horizontal="center" vertical="center" wrapText="1"/>
    </xf>
    <xf numFmtId="3" fontId="11" fillId="7" borderId="33" xfId="0" applyNumberFormat="1" applyFont="1" applyFill="1" applyBorder="1" applyAlignment="1">
      <alignment horizontal="center" vertical="center" wrapText="1"/>
    </xf>
    <xf numFmtId="164" fontId="11" fillId="7" borderId="33" xfId="0" applyNumberFormat="1" applyFont="1" applyFill="1" applyBorder="1" applyAlignment="1">
      <alignment horizontal="center" vertical="center" wrapText="1"/>
    </xf>
    <xf numFmtId="9" fontId="9" fillId="0" borderId="33" xfId="3" applyFont="1" applyBorder="1" applyAlignment="1">
      <alignment horizontal="center" vertical="center"/>
    </xf>
    <xf numFmtId="9" fontId="9" fillId="0" borderId="34" xfId="3" applyFont="1" applyBorder="1" applyAlignment="1">
      <alignment horizontal="center" vertical="center"/>
    </xf>
    <xf numFmtId="0" fontId="11" fillId="7" borderId="0" xfId="0" applyFont="1" applyFill="1" applyAlignment="1">
      <alignment horizontal="left" vertical="top"/>
    </xf>
    <xf numFmtId="0" fontId="11" fillId="7" borderId="0" xfId="0" applyFont="1" applyFill="1" applyAlignment="1">
      <alignment horizontal="center" vertical="top" wrapText="1"/>
    </xf>
    <xf numFmtId="3" fontId="11" fillId="7" borderId="0" xfId="0" applyNumberFormat="1" applyFont="1" applyFill="1" applyAlignment="1">
      <alignment horizontal="center" vertical="top" wrapText="1"/>
    </xf>
    <xf numFmtId="164" fontId="11" fillId="7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72" fontId="4" fillId="6" borderId="20" xfId="0" applyNumberFormat="1" applyFont="1" applyFill="1" applyBorder="1" applyAlignment="1">
      <alignment horizontal="center" vertical="center"/>
    </xf>
    <xf numFmtId="173" fontId="12" fillId="0" borderId="0" xfId="0" applyNumberFormat="1" applyFont="1"/>
    <xf numFmtId="9" fontId="6" fillId="4" borderId="0" xfId="3" applyFont="1" applyFill="1"/>
    <xf numFmtId="174" fontId="7" fillId="3" borderId="3" xfId="1" applyNumberFormat="1" applyFont="1" applyFill="1" applyBorder="1" applyAlignment="1">
      <alignment horizontal="center" vertical="center"/>
    </xf>
    <xf numFmtId="174" fontId="9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8" borderId="36" xfId="7" applyFont="1" applyFill="1" applyBorder="1" applyAlignment="1">
      <alignment horizontal="center"/>
    </xf>
    <xf numFmtId="0" fontId="17" fillId="8" borderId="36" xfId="7" applyFont="1" applyFill="1" applyBorder="1" applyAlignment="1">
      <alignment horizontal="center"/>
    </xf>
    <xf numFmtId="175" fontId="17" fillId="8" borderId="36" xfId="7" applyNumberFormat="1" applyFont="1" applyFill="1" applyBorder="1" applyAlignment="1">
      <alignment horizontal="center"/>
    </xf>
    <xf numFmtId="175" fontId="17" fillId="8" borderId="37" xfId="7" applyNumberFormat="1" applyFont="1" applyFill="1" applyBorder="1" applyAlignment="1">
      <alignment horizontal="center"/>
    </xf>
    <xf numFmtId="0" fontId="18" fillId="0" borderId="0" xfId="0" applyFont="1"/>
    <xf numFmtId="0" fontId="17" fillId="8" borderId="0" xfId="7" applyFont="1" applyFill="1" applyAlignment="1">
      <alignment horizontal="center"/>
    </xf>
    <xf numFmtId="175" fontId="17" fillId="9" borderId="0" xfId="1" applyNumberFormat="1" applyFont="1" applyFill="1" applyBorder="1" applyAlignment="1">
      <alignment horizontal="center"/>
    </xf>
    <xf numFmtId="175" fontId="19" fillId="9" borderId="0" xfId="6" applyNumberFormat="1" applyFont="1" applyFill="1" applyBorder="1" applyAlignment="1">
      <alignment horizontal="center" wrapText="1"/>
    </xf>
    <xf numFmtId="0" fontId="17" fillId="8" borderId="39" xfId="7" applyFont="1" applyFill="1" applyBorder="1" applyAlignment="1">
      <alignment horizontal="center"/>
    </xf>
    <xf numFmtId="1" fontId="17" fillId="9" borderId="0" xfId="1" applyNumberFormat="1" applyFont="1" applyFill="1" applyBorder="1" applyAlignment="1">
      <alignment horizontal="center"/>
    </xf>
    <xf numFmtId="0" fontId="16" fillId="8" borderId="41" xfId="7" applyFont="1" applyFill="1" applyBorder="1" applyAlignment="1">
      <alignment horizontal="center"/>
    </xf>
    <xf numFmtId="0" fontId="17" fillId="8" borderId="41" xfId="7" applyFont="1" applyFill="1" applyBorder="1" applyAlignment="1">
      <alignment horizontal="center"/>
    </xf>
    <xf numFmtId="0" fontId="4" fillId="8" borderId="41" xfId="7" applyFont="1" applyFill="1" applyBorder="1" applyAlignment="1">
      <alignment horizontal="center"/>
    </xf>
    <xf numFmtId="0" fontId="17" fillId="8" borderId="42" xfId="7" applyFont="1" applyFill="1" applyBorder="1" applyAlignment="1">
      <alignment horizontal="center"/>
    </xf>
    <xf numFmtId="0" fontId="15" fillId="0" borderId="35" xfId="7" applyFont="1" applyBorder="1" applyAlignment="1">
      <alignment horizontal="center" vertical="center"/>
    </xf>
    <xf numFmtId="0" fontId="15" fillId="0" borderId="38" xfId="7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179" fontId="8" fillId="5" borderId="7" xfId="2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6" fontId="8" fillId="0" borderId="8" xfId="1" applyNumberFormat="1" applyFont="1" applyFill="1" applyBorder="1"/>
    <xf numFmtId="166" fontId="8" fillId="0" borderId="8" xfId="0" applyNumberFormat="1" applyFont="1" applyFill="1" applyBorder="1" applyAlignment="1">
      <alignment horizontal="center"/>
    </xf>
    <xf numFmtId="167" fontId="8" fillId="0" borderId="7" xfId="2" applyNumberFormat="1" applyFont="1" applyFill="1" applyBorder="1" applyAlignment="1">
      <alignment horizontal="center"/>
    </xf>
    <xf numFmtId="179" fontId="8" fillId="0" borderId="7" xfId="2" applyNumberFormat="1" applyFont="1" applyFill="1" applyBorder="1" applyAlignment="1">
      <alignment horizontal="center"/>
    </xf>
    <xf numFmtId="9" fontId="8" fillId="0" borderId="9" xfId="3" applyFont="1" applyFill="1" applyBorder="1" applyAlignment="1">
      <alignment horizontal="center"/>
    </xf>
    <xf numFmtId="9" fontId="8" fillId="5" borderId="7" xfId="3" applyFont="1" applyFill="1" applyBorder="1" applyAlignment="1">
      <alignment horizontal="center"/>
    </xf>
    <xf numFmtId="167" fontId="4" fillId="6" borderId="23" xfId="0" applyNumberFormat="1" applyFont="1" applyFill="1" applyBorder="1" applyAlignment="1">
      <alignment horizontal="center" vertical="center"/>
    </xf>
    <xf numFmtId="0" fontId="6" fillId="0" borderId="0" xfId="0" applyFont="1" applyFill="1"/>
    <xf numFmtId="1" fontId="4" fillId="0" borderId="1" xfId="4" applyNumberFormat="1" applyFont="1" applyFill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1" fillId="11" borderId="43" xfId="0" applyFont="1" applyFill="1" applyBorder="1" applyAlignment="1">
      <alignment horizontal="center" vertical="center" wrapText="1"/>
    </xf>
    <xf numFmtId="15" fontId="21" fillId="11" borderId="46" xfId="0" applyNumberFormat="1" applyFont="1" applyFill="1" applyBorder="1" applyAlignment="1">
      <alignment horizontal="center" vertical="center" wrapText="1"/>
    </xf>
    <xf numFmtId="0" fontId="21" fillId="11" borderId="46" xfId="0" applyFont="1" applyFill="1" applyBorder="1" applyAlignment="1">
      <alignment horizontal="center" vertical="center" wrapText="1"/>
    </xf>
    <xf numFmtId="15" fontId="21" fillId="11" borderId="44" xfId="0" applyNumberFormat="1" applyFont="1" applyFill="1" applyBorder="1" applyAlignment="1">
      <alignment horizontal="center" vertical="center" wrapText="1"/>
    </xf>
    <xf numFmtId="189" fontId="21" fillId="11" borderId="44" xfId="0" applyNumberFormat="1" applyFont="1" applyFill="1" applyBorder="1" applyAlignment="1">
      <alignment horizontal="center" vertical="center" wrapText="1"/>
    </xf>
    <xf numFmtId="0" fontId="21" fillId="11" borderId="45" xfId="0" applyFont="1" applyFill="1" applyBorder="1" applyAlignment="1">
      <alignment horizontal="center" vertical="center" wrapText="1"/>
    </xf>
    <xf numFmtId="0" fontId="21" fillId="11" borderId="44" xfId="0" applyFont="1" applyFill="1" applyBorder="1" applyAlignment="1">
      <alignment horizontal="center" vertical="center" wrapText="1"/>
    </xf>
    <xf numFmtId="15" fontId="21" fillId="11" borderId="47" xfId="0" applyNumberFormat="1" applyFont="1" applyFill="1" applyBorder="1" applyAlignment="1">
      <alignment horizontal="center" vertical="center" wrapText="1"/>
    </xf>
    <xf numFmtId="0" fontId="21" fillId="11" borderId="47" xfId="0" applyFont="1" applyFill="1" applyBorder="1" applyAlignment="1">
      <alignment horizontal="center" vertical="center" wrapText="1"/>
    </xf>
    <xf numFmtId="0" fontId="22" fillId="7" borderId="48" xfId="0" applyFont="1" applyFill="1" applyBorder="1" applyAlignment="1">
      <alignment horizontal="center" vertical="center" wrapText="1"/>
    </xf>
    <xf numFmtId="0" fontId="22" fillId="7" borderId="49" xfId="0" applyFont="1" applyFill="1" applyBorder="1" applyAlignment="1">
      <alignment horizontal="center" vertical="center" wrapText="1"/>
    </xf>
    <xf numFmtId="4" fontId="22" fillId="7" borderId="4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8">
    <cellStyle name="_x000d__x000a_JournalTemplate=C:\COMFO\CTALK\JOURSTD.TPL_x000d__x000a_LbStateAddress=3 3 0 251 1 89 2 311_x000d__x000a_LbStateJou" xfId="7" xr:uid="{958CA62C-0475-46A0-A957-6C079FCF1611}"/>
    <cellStyle name="Hiperlink" xfId="6" builtinId="8"/>
    <cellStyle name="Moeda" xfId="2" builtinId="4"/>
    <cellStyle name="Normal" xfId="0" builtinId="0"/>
    <cellStyle name="Normal 133" xfId="4" xr:uid="{5F036D29-A499-4887-83BC-21D73E5149EB}"/>
    <cellStyle name="Porcentagem" xfId="3" builtinId="5"/>
    <cellStyle name="Vírgula" xfId="1" builtinId="3"/>
    <cellStyle name="Vírgula 18" xfId="5" xr:uid="{E5FC1EF1-6A41-4E82-BA0B-4501314C4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6313-FDE0-426E-8BC8-8FEC31D9E89D}">
  <dimension ref="A1:AJ154"/>
  <sheetViews>
    <sheetView showGridLines="0" tabSelected="1" zoomScale="85" zoomScaleNormal="85" workbookViewId="0">
      <pane xSplit="2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B6" sqref="B6:J24"/>
    </sheetView>
  </sheetViews>
  <sheetFormatPr defaultColWidth="0" defaultRowHeight="15.5" zeroHeight="1" outlineLevelCol="1" x14ac:dyDescent="0.35"/>
  <cols>
    <col min="1" max="1" width="10.90625" style="1" customWidth="1" outlineLevel="1"/>
    <col min="2" max="2" width="16.1796875" style="57" bestFit="1" customWidth="1"/>
    <col min="3" max="3" width="15.81640625" style="57" customWidth="1"/>
    <col min="4" max="4" width="15.1796875" style="57" customWidth="1"/>
    <col min="5" max="5" width="15.453125" style="86" customWidth="1"/>
    <col min="6" max="6" width="12.1796875" style="87" customWidth="1"/>
    <col min="7" max="7" width="15.453125" style="86" customWidth="1"/>
    <col min="8" max="8" width="13.54296875" style="57" customWidth="1"/>
    <col min="9" max="9" width="15.453125" style="86" customWidth="1"/>
    <col min="10" max="10" width="14.08984375" style="57" bestFit="1" customWidth="1"/>
    <col min="11" max="11" width="14.453125" style="7" bestFit="1" customWidth="1"/>
    <col min="12" max="13" width="8.81640625" style="6" customWidth="1" outlineLevel="1"/>
    <col min="14" max="14" width="5.36328125" style="7" customWidth="1"/>
    <col min="15" max="15" width="19.90625" style="57" bestFit="1" customWidth="1"/>
    <col min="16" max="16" width="14.36328125" style="57" customWidth="1"/>
    <col min="17" max="17" width="12.81640625" style="57" customWidth="1"/>
    <col min="18" max="18" width="14.1796875" style="7" customWidth="1"/>
    <col min="19" max="20" width="17.1796875" style="7" customWidth="1"/>
    <col min="21" max="21" width="8.81640625" style="7" customWidth="1"/>
    <col min="22" max="22" width="11.1796875" style="57" customWidth="1"/>
    <col min="23" max="23" width="14.6328125" style="57" customWidth="1"/>
    <col min="24" max="24" width="13.36328125" style="57" customWidth="1"/>
    <col min="25" max="25" width="14.1796875" style="7" customWidth="1"/>
    <col min="26" max="26" width="17.1796875" style="7" customWidth="1"/>
    <col min="27" max="27" width="14.1796875" style="7" customWidth="1"/>
    <col min="28" max="28" width="13.453125" style="62" customWidth="1"/>
    <col min="29" max="30" width="8.81640625" style="7" customWidth="1"/>
    <col min="31" max="36" width="0" style="7" hidden="1" customWidth="1"/>
    <col min="37" max="16384" width="8.81640625" style="7" hidden="1"/>
  </cols>
  <sheetData>
    <row r="1" spans="1:29" s="98" customFormat="1" ht="14" x14ac:dyDescent="0.3">
      <c r="A1" s="93"/>
      <c r="B1" s="108" t="e" vm="1">
        <v>#VALUE!</v>
      </c>
      <c r="C1" s="94"/>
      <c r="D1" s="94"/>
      <c r="E1" s="94"/>
      <c r="F1" s="95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7"/>
    </row>
    <row r="2" spans="1:29" s="98" customFormat="1" ht="14" x14ac:dyDescent="0.3">
      <c r="A2" s="93"/>
      <c r="B2" s="109"/>
      <c r="C2" s="99" t="s">
        <v>48</v>
      </c>
      <c r="D2" s="100">
        <v>45930</v>
      </c>
      <c r="E2" s="99"/>
      <c r="F2" s="101" t="s">
        <v>49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02"/>
    </row>
    <row r="3" spans="1:29" s="98" customFormat="1" ht="14" x14ac:dyDescent="0.3">
      <c r="A3" s="93"/>
      <c r="B3" s="109"/>
      <c r="C3" s="99" t="s">
        <v>50</v>
      </c>
      <c r="D3" s="103" t="s">
        <v>51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102"/>
    </row>
    <row r="4" spans="1:29" s="98" customFormat="1" ht="16" thickBot="1" x14ac:dyDescent="0.4">
      <c r="A4" s="93"/>
      <c r="B4" s="110"/>
      <c r="C4" s="104"/>
      <c r="D4" s="104"/>
      <c r="E4" s="104"/>
      <c r="F4" s="105"/>
      <c r="G4" s="105"/>
      <c r="H4" s="105"/>
      <c r="I4" s="106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7"/>
    </row>
    <row r="5" spans="1:29" x14ac:dyDescent="0.35"/>
    <row r="6" spans="1:29" ht="68.5" customHeight="1" thickBot="1" x14ac:dyDescent="0.4">
      <c r="B6" s="2" t="s">
        <v>0</v>
      </c>
      <c r="C6" s="2" t="s">
        <v>1</v>
      </c>
      <c r="D6" s="2" t="s">
        <v>2</v>
      </c>
      <c r="E6" s="3" t="s">
        <v>3</v>
      </c>
      <c r="F6" s="4" t="s">
        <v>4</v>
      </c>
      <c r="G6" s="3" t="s">
        <v>5</v>
      </c>
      <c r="H6" s="2" t="s">
        <v>6</v>
      </c>
      <c r="I6" s="3" t="s">
        <v>7</v>
      </c>
      <c r="J6" s="2" t="s">
        <v>8</v>
      </c>
      <c r="K6" s="5"/>
      <c r="L6" s="6" t="s">
        <v>9</v>
      </c>
      <c r="M6" s="6" t="s">
        <v>10</v>
      </c>
      <c r="O6" s="2" t="s">
        <v>11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16</v>
      </c>
      <c r="V6" s="2" t="s">
        <v>17</v>
      </c>
      <c r="W6" s="2" t="s">
        <v>12</v>
      </c>
      <c r="X6" s="2" t="s">
        <v>13</v>
      </c>
      <c r="Y6" s="2" t="s">
        <v>14</v>
      </c>
      <c r="Z6" s="2" t="s">
        <v>15</v>
      </c>
      <c r="AA6" s="2" t="s">
        <v>18</v>
      </c>
      <c r="AB6" s="2" t="s">
        <v>19</v>
      </c>
    </row>
    <row r="7" spans="1:29" ht="16.5" thickBot="1" x14ac:dyDescent="0.45">
      <c r="A7" s="36"/>
      <c r="B7" s="8">
        <v>2025</v>
      </c>
      <c r="C7" s="9"/>
      <c r="D7" s="9"/>
      <c r="E7" s="10">
        <f>SUM(E8:E10)</f>
        <v>444744.25355999998</v>
      </c>
      <c r="F7" s="11">
        <f>SUM(F8:F10)</f>
        <v>0.67499700000000007</v>
      </c>
      <c r="G7" s="10">
        <v>928407.52626999805</v>
      </c>
      <c r="H7" s="12">
        <f>E7/G7</f>
        <v>0.47903990540320129</v>
      </c>
      <c r="I7" s="10">
        <v>592993.93679000007</v>
      </c>
      <c r="J7" s="13">
        <f>E7/I7</f>
        <v>0.74999797800209134</v>
      </c>
      <c r="K7" s="37"/>
      <c r="N7" s="38"/>
      <c r="O7" s="14">
        <v>2025</v>
      </c>
      <c r="P7" s="15">
        <f>SUMIFS($E:$E,$L:$L,$O7,$B:$B,"JCP")</f>
        <v>2000259.01856</v>
      </c>
      <c r="Q7" s="16">
        <f>R7-P7</f>
        <v>0</v>
      </c>
      <c r="R7" s="15">
        <f t="shared" ref="R7:R30" si="0">SUMIF($L:$L,$O7,$E:$E)</f>
        <v>2000259.01856</v>
      </c>
      <c r="S7" s="17">
        <f>SUMIF($L:$L,$O7,$F:$F)</f>
        <v>3.0358320000017605</v>
      </c>
      <c r="T7" s="17">
        <f t="shared" ref="T7:T30" si="1">SUMIFS($F:$F,$L:$L,$O7,$A:$A,"Dividendos")</f>
        <v>0</v>
      </c>
      <c r="V7" s="14">
        <f>O7</f>
        <v>2025</v>
      </c>
      <c r="W7" s="18">
        <f t="shared" ref="W7:W30" si="2">SUMIFS($E:$E,$M:$M,$V7,$B:$B,"JCP")</f>
        <v>444744.25355999998</v>
      </c>
      <c r="X7" s="19">
        <f>Y7-W7</f>
        <v>0</v>
      </c>
      <c r="Y7" s="18">
        <f t="shared" ref="Y7:Y30" si="3">SUMIF($M:$M,$V7,$E:$E)</f>
        <v>444744.25355999998</v>
      </c>
      <c r="Z7" s="17">
        <f t="shared" ref="Z7:Z30" si="4">SUMIF($M:$M,$V7,$F:$F)</f>
        <v>0.67499700000000007</v>
      </c>
      <c r="AA7" s="18">
        <f t="shared" ref="AA7:AA30" si="5">IFERROR(INDEX($B$6:$J$150,MATCH($V7,$B$6:$B$150,0),MATCH(I$6,$B$6:$J$6,0)),0)</f>
        <v>592993.93679000007</v>
      </c>
      <c r="AB7" s="20">
        <f>IFERROR(IF(Y7/AA7&lt;0,"N/A",Y7/AA7),"N/A")</f>
        <v>0.74999797800209134</v>
      </c>
    </row>
    <row r="8" spans="1:29" x14ac:dyDescent="0.35">
      <c r="A8" s="21" t="str">
        <f>LEFT(B8,10)</f>
        <v>JCP</v>
      </c>
      <c r="B8" s="39" t="s">
        <v>20</v>
      </c>
      <c r="C8" s="40">
        <v>45961</v>
      </c>
      <c r="D8" s="41">
        <v>45989</v>
      </c>
      <c r="E8" s="42">
        <v>148248.08452</v>
      </c>
      <c r="F8" s="43">
        <v>0.224999</v>
      </c>
      <c r="G8" s="42"/>
      <c r="H8" s="44"/>
      <c r="I8" s="42"/>
      <c r="J8" s="45"/>
      <c r="K8" s="46"/>
      <c r="L8" s="28">
        <f>YEAR(D8)</f>
        <v>2025</v>
      </c>
      <c r="M8" s="28">
        <f>YEAR(D8)</f>
        <v>2025</v>
      </c>
      <c r="N8" s="38"/>
      <c r="O8" s="29">
        <f t="shared" ref="O8:O30" si="6">O7-1</f>
        <v>2024</v>
      </c>
      <c r="P8" s="30">
        <f t="shared" ref="P7:P30" si="7">SUMIFS($E:$E,$L:$L,$O8,$B:$B,"JCP")</f>
        <v>1452233.48933</v>
      </c>
      <c r="Q8" s="31">
        <f t="shared" ref="Q8:Q28" si="8">R8-P8</f>
        <v>0</v>
      </c>
      <c r="R8" s="30">
        <f t="shared" si="0"/>
        <v>1452233.48933</v>
      </c>
      <c r="S8" s="32">
        <f t="shared" ref="S7:S30" si="9">SUMIF($L:$L,$O8,$F:$F)</f>
        <v>2.2040829999996481</v>
      </c>
      <c r="T8" s="32">
        <f t="shared" si="1"/>
        <v>0</v>
      </c>
      <c r="V8" s="29">
        <f>O8</f>
        <v>2024</v>
      </c>
      <c r="W8" s="33">
        <f t="shared" si="2"/>
        <v>1555514.7649999999</v>
      </c>
      <c r="X8" s="34">
        <f t="shared" ref="X8:X28" si="10">Y8-W8</f>
        <v>0</v>
      </c>
      <c r="Y8" s="33">
        <f t="shared" si="3"/>
        <v>1555514.7649999999</v>
      </c>
      <c r="Z8" s="32">
        <f t="shared" si="4"/>
        <v>2.3608350000017602</v>
      </c>
      <c r="AA8" s="33">
        <f t="shared" si="5"/>
        <v>2076570.9974200181</v>
      </c>
      <c r="AB8" s="35">
        <f t="shared" ref="AB8:AB28" si="11">IFERROR(IF(Y8/AA8&lt;0,"N/A",Y8/AA8),"N/A")</f>
        <v>0.74907853713290273</v>
      </c>
    </row>
    <row r="9" spans="1:29" x14ac:dyDescent="0.35">
      <c r="A9" s="21" t="str">
        <f>LEFT(B9,10)</f>
        <v>JCP</v>
      </c>
      <c r="B9" s="39" t="s">
        <v>20</v>
      </c>
      <c r="C9" s="40">
        <v>45986</v>
      </c>
      <c r="D9" s="41">
        <v>46006</v>
      </c>
      <c r="E9" s="42">
        <v>148248.08452</v>
      </c>
      <c r="F9" s="43">
        <v>0.224999</v>
      </c>
      <c r="G9" s="42"/>
      <c r="H9" s="44"/>
      <c r="I9" s="42"/>
      <c r="J9" s="45"/>
      <c r="K9" s="47"/>
      <c r="L9" s="28">
        <f>YEAR(D9)</f>
        <v>2025</v>
      </c>
      <c r="M9" s="28">
        <f t="shared" ref="M9:M10" si="12">YEAR(D9)</f>
        <v>2025</v>
      </c>
      <c r="N9" s="38"/>
      <c r="O9" s="14">
        <f t="shared" si="6"/>
        <v>2023</v>
      </c>
      <c r="P9" s="15">
        <f t="shared" si="7"/>
        <v>700000.25769999996</v>
      </c>
      <c r="Q9" s="16">
        <f t="shared" si="8"/>
        <v>0</v>
      </c>
      <c r="R9" s="15">
        <f t="shared" si="0"/>
        <v>700000.25769999996</v>
      </c>
      <c r="S9" s="17">
        <f t="shared" si="9"/>
        <v>1.0624039999999999</v>
      </c>
      <c r="T9" s="17">
        <f t="shared" si="1"/>
        <v>0</v>
      </c>
      <c r="V9" s="14">
        <f t="shared" ref="V9:V30" si="13">V8-1</f>
        <v>2023</v>
      </c>
      <c r="W9" s="18">
        <f t="shared" si="2"/>
        <v>1452233.48933</v>
      </c>
      <c r="X9" s="19">
        <f t="shared" si="10"/>
        <v>0</v>
      </c>
      <c r="Y9" s="18">
        <f t="shared" si="3"/>
        <v>1452233.48933</v>
      </c>
      <c r="Z9" s="17">
        <f t="shared" si="4"/>
        <v>2.2040829999996481</v>
      </c>
      <c r="AA9" s="18">
        <f t="shared" si="5"/>
        <v>1942286</v>
      </c>
      <c r="AB9" s="20">
        <f t="shared" si="11"/>
        <v>0.74769291923537518</v>
      </c>
    </row>
    <row r="10" spans="1:29" x14ac:dyDescent="0.35">
      <c r="A10" s="21" t="str">
        <f>LEFT(B10,10)</f>
        <v>JCP</v>
      </c>
      <c r="B10" s="39" t="s">
        <v>20</v>
      </c>
      <c r="C10" s="40">
        <v>46009</v>
      </c>
      <c r="D10" s="41">
        <v>46021</v>
      </c>
      <c r="E10" s="42">
        <v>148248.08452</v>
      </c>
      <c r="F10" s="43">
        <v>0.224999</v>
      </c>
      <c r="G10" s="42"/>
      <c r="H10" s="44"/>
      <c r="I10" s="42"/>
      <c r="J10" s="45"/>
      <c r="L10" s="28">
        <f>YEAR(D10)</f>
        <v>2025</v>
      </c>
      <c r="M10" s="28">
        <f t="shared" si="12"/>
        <v>2025</v>
      </c>
      <c r="N10" s="38"/>
      <c r="O10" s="29">
        <f t="shared" si="6"/>
        <v>2022</v>
      </c>
      <c r="P10" s="30">
        <f t="shared" si="7"/>
        <v>114577.17103</v>
      </c>
      <c r="Q10" s="31">
        <f t="shared" si="8"/>
        <v>0</v>
      </c>
      <c r="R10" s="30">
        <f t="shared" si="0"/>
        <v>114577.17103</v>
      </c>
      <c r="S10" s="32">
        <f t="shared" si="9"/>
        <v>0.173896</v>
      </c>
      <c r="T10" s="32">
        <f t="shared" si="1"/>
        <v>0</v>
      </c>
      <c r="V10" s="29">
        <f t="shared" si="13"/>
        <v>2022</v>
      </c>
      <c r="W10" s="33">
        <f t="shared" si="2"/>
        <v>700000.25769999996</v>
      </c>
      <c r="X10" s="34">
        <f t="shared" si="10"/>
        <v>0</v>
      </c>
      <c r="Y10" s="33">
        <f t="shared" si="3"/>
        <v>700000.25769999996</v>
      </c>
      <c r="Z10" s="32">
        <f t="shared" si="4"/>
        <v>1.0624039999999999</v>
      </c>
      <c r="AA10" s="33">
        <f t="shared" si="5"/>
        <v>936887.00000000035</v>
      </c>
      <c r="AB10" s="35">
        <f t="shared" si="11"/>
        <v>0.74715548161090894</v>
      </c>
    </row>
    <row r="11" spans="1:29" ht="16" thickBot="1" x14ac:dyDescent="0.4">
      <c r="B11" s="39"/>
      <c r="C11" s="40"/>
      <c r="D11" s="41"/>
      <c r="E11" s="42"/>
      <c r="F11" s="43"/>
      <c r="G11" s="42"/>
      <c r="H11" s="44"/>
      <c r="I11" s="42"/>
      <c r="J11" s="45"/>
      <c r="K11" s="5"/>
      <c r="O11" s="14">
        <f t="shared" si="6"/>
        <v>2021</v>
      </c>
      <c r="P11" s="15">
        <f t="shared" si="7"/>
        <v>950379.20763999992</v>
      </c>
      <c r="Q11" s="16">
        <f t="shared" si="8"/>
        <v>1851531.9258749678</v>
      </c>
      <c r="R11" s="15">
        <f t="shared" si="0"/>
        <v>2801911.1335149677</v>
      </c>
      <c r="S11" s="17">
        <f t="shared" si="9"/>
        <v>4.2525149999999998</v>
      </c>
      <c r="T11" s="17">
        <f t="shared" si="1"/>
        <v>2.8101060000000002</v>
      </c>
      <c r="V11" s="14">
        <f>V10-1</f>
        <v>2021</v>
      </c>
      <c r="W11" s="18">
        <f t="shared" si="2"/>
        <v>629109.02636999998</v>
      </c>
      <c r="X11" s="19">
        <f t="shared" si="10"/>
        <v>1211082.8589499998</v>
      </c>
      <c r="Y11" s="18">
        <f t="shared" si="3"/>
        <v>1840191.8853199999</v>
      </c>
      <c r="Z11" s="17">
        <f t="shared" si="4"/>
        <v>2.7928950000000001</v>
      </c>
      <c r="AA11" s="18">
        <f t="shared" si="5"/>
        <v>877567</v>
      </c>
      <c r="AB11" s="20">
        <f t="shared" si="11"/>
        <v>2.0969246625271913</v>
      </c>
    </row>
    <row r="12" spans="1:29" ht="16" thickBot="1" x14ac:dyDescent="0.4">
      <c r="B12" s="8">
        <v>2024</v>
      </c>
      <c r="C12" s="9"/>
      <c r="D12" s="9"/>
      <c r="E12" s="10">
        <f>SUM(E13:E15)</f>
        <v>1555514.7649999999</v>
      </c>
      <c r="F12" s="11">
        <f>SUM(F13:F15)</f>
        <v>2.3608350000017602</v>
      </c>
      <c r="G12" s="10">
        <v>3498416.3703099997</v>
      </c>
      <c r="H12" s="12">
        <f>E12/G12</f>
        <v>0.44463397158816848</v>
      </c>
      <c r="I12" s="10">
        <v>2076570.9974200181</v>
      </c>
      <c r="J12" s="13">
        <f>E12/I12</f>
        <v>0.74907853713290273</v>
      </c>
      <c r="K12" s="5"/>
      <c r="O12" s="29">
        <f t="shared" si="6"/>
        <v>2020</v>
      </c>
      <c r="P12" s="30">
        <f t="shared" si="7"/>
        <v>258178.36032000001</v>
      </c>
      <c r="Q12" s="31">
        <f t="shared" si="8"/>
        <v>444000</v>
      </c>
      <c r="R12" s="30">
        <f t="shared" si="0"/>
        <v>702178.36031999998</v>
      </c>
      <c r="S12" s="32">
        <f t="shared" si="9"/>
        <v>1.0657099999999999</v>
      </c>
      <c r="T12" s="32">
        <f t="shared" si="1"/>
        <v>0.67386699999999999</v>
      </c>
      <c r="V12" s="29">
        <f t="shared" si="13"/>
        <v>2020</v>
      </c>
      <c r="W12" s="33">
        <f t="shared" si="2"/>
        <v>586180.35230000003</v>
      </c>
      <c r="X12" s="34">
        <f t="shared" si="10"/>
        <v>1084449.0669249683</v>
      </c>
      <c r="Y12" s="33">
        <f t="shared" si="3"/>
        <v>1670629.4192249682</v>
      </c>
      <c r="Z12" s="32">
        <f t="shared" si="4"/>
        <v>2.5355469999999998</v>
      </c>
      <c r="AA12" s="33">
        <f t="shared" si="5"/>
        <v>2002390</v>
      </c>
      <c r="AB12" s="35">
        <f t="shared" si="11"/>
        <v>0.83431769996103067</v>
      </c>
    </row>
    <row r="13" spans="1:29" x14ac:dyDescent="0.35">
      <c r="A13" s="21" t="str">
        <f>LEFT(B13,10)</f>
        <v>JCP</v>
      </c>
      <c r="B13" s="22" t="s">
        <v>20</v>
      </c>
      <c r="C13" s="23">
        <v>45667</v>
      </c>
      <c r="D13" s="23">
        <v>45678</v>
      </c>
      <c r="E13" s="24">
        <v>518504.92166666663</v>
      </c>
      <c r="F13" s="25">
        <v>0.78694500000058676</v>
      </c>
      <c r="G13" s="24"/>
      <c r="H13" s="26"/>
      <c r="I13" s="24"/>
      <c r="J13" s="27"/>
      <c r="K13" s="5"/>
      <c r="L13" s="28">
        <f>YEAR(D13)</f>
        <v>2025</v>
      </c>
      <c r="M13" s="6">
        <v>2024</v>
      </c>
      <c r="O13" s="14">
        <f t="shared" si="6"/>
        <v>2019</v>
      </c>
      <c r="P13" s="15">
        <f t="shared" si="7"/>
        <v>593859.42848999996</v>
      </c>
      <c r="Q13" s="16">
        <f t="shared" si="8"/>
        <v>293555.57285</v>
      </c>
      <c r="R13" s="15">
        <f t="shared" si="0"/>
        <v>887415.00133999996</v>
      </c>
      <c r="S13" s="17">
        <f t="shared" si="9"/>
        <v>1.3468469999999999</v>
      </c>
      <c r="T13" s="17">
        <f t="shared" si="1"/>
        <v>0.44553500000000001</v>
      </c>
      <c r="V13" s="14">
        <f t="shared" si="13"/>
        <v>2019</v>
      </c>
      <c r="W13" s="18">
        <f t="shared" si="2"/>
        <v>701704.78881000006</v>
      </c>
      <c r="X13" s="19">
        <f t="shared" si="10"/>
        <v>293555.57284999988</v>
      </c>
      <c r="Y13" s="18">
        <f t="shared" si="3"/>
        <v>995260.36165999994</v>
      </c>
      <c r="Z13" s="17">
        <f t="shared" si="4"/>
        <v>1.510526</v>
      </c>
      <c r="AA13" s="18">
        <f t="shared" si="5"/>
        <v>1221830</v>
      </c>
      <c r="AB13" s="20">
        <f t="shared" si="11"/>
        <v>0.81456533368799255</v>
      </c>
    </row>
    <row r="14" spans="1:29" x14ac:dyDescent="0.35">
      <c r="A14" s="21" t="str">
        <f>LEFT(B14,10)</f>
        <v>JCP</v>
      </c>
      <c r="B14" s="22" t="s">
        <v>20</v>
      </c>
      <c r="C14" s="23">
        <v>45700</v>
      </c>
      <c r="D14" s="23">
        <v>45709</v>
      </c>
      <c r="E14" s="24">
        <v>518504.92166666663</v>
      </c>
      <c r="F14" s="25">
        <v>0.78694500000058676</v>
      </c>
      <c r="G14" s="24"/>
      <c r="H14" s="26"/>
      <c r="I14" s="24"/>
      <c r="J14" s="27"/>
      <c r="K14" s="5"/>
      <c r="L14" s="28">
        <f>YEAR(D14)</f>
        <v>2025</v>
      </c>
      <c r="M14" s="6">
        <v>2024</v>
      </c>
      <c r="O14" s="29">
        <f t="shared" si="6"/>
        <v>2018</v>
      </c>
      <c r="P14" s="30">
        <f t="shared" si="7"/>
        <v>592000.05981000001</v>
      </c>
      <c r="Q14" s="31">
        <f t="shared" si="8"/>
        <v>1478000.1092593162</v>
      </c>
      <c r="R14" s="30">
        <f t="shared" si="0"/>
        <v>2070000.1690693162</v>
      </c>
      <c r="S14" s="32">
        <f t="shared" si="9"/>
        <v>12.566718</v>
      </c>
      <c r="T14" s="32">
        <f t="shared" si="1"/>
        <v>8.9727579999999989</v>
      </c>
      <c r="V14" s="29">
        <f t="shared" si="13"/>
        <v>2018</v>
      </c>
      <c r="W14" s="33">
        <f t="shared" si="2"/>
        <v>592000.05981000001</v>
      </c>
      <c r="X14" s="34">
        <f t="shared" si="10"/>
        <v>1393306.5904800002</v>
      </c>
      <c r="Y14" s="33">
        <f t="shared" si="3"/>
        <v>1985306.6502900003</v>
      </c>
      <c r="Z14" s="32">
        <f t="shared" si="4"/>
        <v>12.052554000000001</v>
      </c>
      <c r="AA14" s="33">
        <f t="shared" si="5"/>
        <v>1276311</v>
      </c>
      <c r="AB14" s="35">
        <f t="shared" si="11"/>
        <v>1.5555038311900471</v>
      </c>
    </row>
    <row r="15" spans="1:29" x14ac:dyDescent="0.35">
      <c r="A15" s="21" t="str">
        <f>LEFT(B15,10)</f>
        <v>JCP</v>
      </c>
      <c r="B15" s="22" t="s">
        <v>20</v>
      </c>
      <c r="C15" s="23">
        <v>45728</v>
      </c>
      <c r="D15" s="23">
        <v>45737</v>
      </c>
      <c r="E15" s="24">
        <v>518504.92166666663</v>
      </c>
      <c r="F15" s="25">
        <v>0.78694500000058676</v>
      </c>
      <c r="G15" s="24"/>
      <c r="H15" s="26"/>
      <c r="I15" s="24"/>
      <c r="J15" s="27"/>
      <c r="K15" s="5"/>
      <c r="L15" s="28">
        <f>YEAR(D15)</f>
        <v>2025</v>
      </c>
      <c r="M15" s="6">
        <v>2024</v>
      </c>
      <c r="O15" s="14">
        <f t="shared" si="6"/>
        <v>2017</v>
      </c>
      <c r="P15" s="15">
        <f t="shared" si="7"/>
        <v>0</v>
      </c>
      <c r="Q15" s="16">
        <f t="shared" si="8"/>
        <v>637900.17685804993</v>
      </c>
      <c r="R15" s="15">
        <f t="shared" si="0"/>
        <v>637900.17685804993</v>
      </c>
      <c r="S15" s="17">
        <f t="shared" si="9"/>
        <v>3.872614</v>
      </c>
      <c r="T15" s="17">
        <f t="shared" si="1"/>
        <v>3.872614</v>
      </c>
      <c r="V15" s="14">
        <f t="shared" si="13"/>
        <v>2017</v>
      </c>
      <c r="W15" s="18">
        <f t="shared" si="2"/>
        <v>0</v>
      </c>
      <c r="X15" s="19">
        <f t="shared" si="10"/>
        <v>585093.64501741016</v>
      </c>
      <c r="Y15" s="18">
        <f t="shared" si="3"/>
        <v>585093.64501741016</v>
      </c>
      <c r="Z15" s="17">
        <f t="shared" si="4"/>
        <v>3.5520320000000001</v>
      </c>
      <c r="AA15" s="18">
        <f t="shared" si="5"/>
        <v>615474</v>
      </c>
      <c r="AB15" s="20">
        <f t="shared" si="11"/>
        <v>0.95063909282505865</v>
      </c>
    </row>
    <row r="16" spans="1:29" ht="16" thickBot="1" x14ac:dyDescent="0.4">
      <c r="A16" s="21"/>
      <c r="B16" s="22"/>
      <c r="C16" s="23"/>
      <c r="D16" s="23"/>
      <c r="E16" s="24"/>
      <c r="F16" s="25"/>
      <c r="G16" s="24"/>
      <c r="H16" s="26"/>
      <c r="I16" s="24"/>
      <c r="J16" s="27"/>
      <c r="K16" s="37"/>
      <c r="N16" s="38"/>
      <c r="O16" s="29">
        <f t="shared" si="6"/>
        <v>2016</v>
      </c>
      <c r="P16" s="30">
        <f t="shared" si="7"/>
        <v>0</v>
      </c>
      <c r="Q16" s="31">
        <f t="shared" si="8"/>
        <v>110000.07344012988</v>
      </c>
      <c r="R16" s="30">
        <f t="shared" si="0"/>
        <v>110000.07344012988</v>
      </c>
      <c r="S16" s="32">
        <f t="shared" si="9"/>
        <v>0.66779699999999997</v>
      </c>
      <c r="T16" s="32">
        <f t="shared" si="1"/>
        <v>0.66779699999999997</v>
      </c>
      <c r="V16" s="29">
        <f t="shared" si="13"/>
        <v>2016</v>
      </c>
      <c r="W16" s="33">
        <f t="shared" si="2"/>
        <v>0</v>
      </c>
      <c r="X16" s="34">
        <f t="shared" si="10"/>
        <v>247500.12406008574</v>
      </c>
      <c r="Y16" s="33">
        <f t="shared" si="3"/>
        <v>247500.12406008574</v>
      </c>
      <c r="Z16" s="32">
        <f t="shared" si="4"/>
        <v>1.502543</v>
      </c>
      <c r="AA16" s="33">
        <f t="shared" si="5"/>
        <v>228785</v>
      </c>
      <c r="AB16" s="35">
        <f t="shared" si="11"/>
        <v>1.0818022338006676</v>
      </c>
    </row>
    <row r="17" spans="1:28" ht="16.5" thickBot="1" x14ac:dyDescent="0.45">
      <c r="A17" s="36"/>
      <c r="B17" s="8">
        <v>2023</v>
      </c>
      <c r="C17" s="9"/>
      <c r="D17" s="9"/>
      <c r="E17" s="10">
        <f>SUM(E18:E19)</f>
        <v>1452233.48933</v>
      </c>
      <c r="F17" s="11">
        <f>SUM(F18:F19)</f>
        <v>2.2040829999996481</v>
      </c>
      <c r="G17" s="10">
        <v>2841116.8365800008</v>
      </c>
      <c r="H17" s="12">
        <f>E17/G17</f>
        <v>0.51114880973291066</v>
      </c>
      <c r="I17" s="10">
        <v>1942286</v>
      </c>
      <c r="J17" s="13">
        <f>E17/I17</f>
        <v>0.74769291923537518</v>
      </c>
      <c r="K17" s="46"/>
      <c r="N17" s="38"/>
      <c r="O17" s="14">
        <f t="shared" si="6"/>
        <v>2015</v>
      </c>
      <c r="P17" s="15">
        <f t="shared" si="7"/>
        <v>0</v>
      </c>
      <c r="Q17" s="16">
        <f t="shared" si="8"/>
        <v>365894.15567999997</v>
      </c>
      <c r="R17" s="15">
        <f t="shared" si="0"/>
        <v>365894.15567999997</v>
      </c>
      <c r="S17" s="17">
        <f t="shared" si="9"/>
        <v>2.2689779999999997</v>
      </c>
      <c r="T17" s="17">
        <f t="shared" si="1"/>
        <v>2.2689779999999997</v>
      </c>
      <c r="V17" s="14">
        <f t="shared" si="13"/>
        <v>2015</v>
      </c>
      <c r="W17" s="18">
        <f t="shared" si="2"/>
        <v>0</v>
      </c>
      <c r="X17" s="19">
        <f t="shared" si="10"/>
        <v>334865.09512999997</v>
      </c>
      <c r="Y17" s="18">
        <f t="shared" si="3"/>
        <v>334865.09512999997</v>
      </c>
      <c r="Z17" s="17">
        <f t="shared" si="4"/>
        <v>2.0765609999999999</v>
      </c>
      <c r="AA17" s="18">
        <f t="shared" si="5"/>
        <v>271887</v>
      </c>
      <c r="AB17" s="20">
        <f t="shared" si="11"/>
        <v>1.231633344477669</v>
      </c>
    </row>
    <row r="18" spans="1:28" x14ac:dyDescent="0.35">
      <c r="A18" s="21" t="str">
        <f>LEFT(B18,10)</f>
        <v>JCP</v>
      </c>
      <c r="B18" s="39" t="s">
        <v>20</v>
      </c>
      <c r="C18" s="40">
        <v>45273</v>
      </c>
      <c r="D18" s="41">
        <v>45306</v>
      </c>
      <c r="E18" s="42">
        <v>159999.92713</v>
      </c>
      <c r="F18" s="43">
        <v>0.24283500000479599</v>
      </c>
      <c r="G18" s="42"/>
      <c r="H18" s="44"/>
      <c r="I18" s="42"/>
      <c r="J18" s="45"/>
      <c r="K18" s="47"/>
      <c r="L18" s="28">
        <f>YEAR(D18)</f>
        <v>2024</v>
      </c>
      <c r="M18" s="6">
        <v>2023</v>
      </c>
      <c r="N18" s="38"/>
      <c r="O18" s="29">
        <f t="shared" si="6"/>
        <v>2014</v>
      </c>
      <c r="P18" s="30">
        <f t="shared" si="7"/>
        <v>231689.82490897595</v>
      </c>
      <c r="Q18" s="31">
        <f t="shared" si="8"/>
        <v>195000.16409352483</v>
      </c>
      <c r="R18" s="30">
        <f t="shared" si="0"/>
        <v>426689.98900250078</v>
      </c>
      <c r="S18" s="32">
        <f t="shared" si="9"/>
        <v>2.7263120000000001</v>
      </c>
      <c r="T18" s="32">
        <f t="shared" si="1"/>
        <v>1.2197100000000001</v>
      </c>
      <c r="V18" s="29">
        <f t="shared" si="13"/>
        <v>2014</v>
      </c>
      <c r="W18" s="33">
        <f t="shared" si="2"/>
        <v>31689.740538975941</v>
      </c>
      <c r="X18" s="34">
        <f t="shared" si="10"/>
        <v>196029.08986352486</v>
      </c>
      <c r="Y18" s="33">
        <f t="shared" si="3"/>
        <v>227718.83040250081</v>
      </c>
      <c r="Z18" s="32">
        <f t="shared" si="4"/>
        <v>1.4121270000000001</v>
      </c>
      <c r="AA18" s="33">
        <f t="shared" si="5"/>
        <v>248140</v>
      </c>
      <c r="AB18" s="35">
        <f t="shared" si="11"/>
        <v>0.91770303216934312</v>
      </c>
    </row>
    <row r="19" spans="1:28" x14ac:dyDescent="0.35">
      <c r="A19" s="21" t="str">
        <f>LEFT(B19,10)</f>
        <v>JCP</v>
      </c>
      <c r="B19" s="39" t="s">
        <v>20</v>
      </c>
      <c r="C19" s="40">
        <v>45273</v>
      </c>
      <c r="D19" s="41">
        <v>45392</v>
      </c>
      <c r="E19" s="42">
        <v>1292233.5622</v>
      </c>
      <c r="F19" s="43">
        <v>1.961247999994852</v>
      </c>
      <c r="G19" s="42"/>
      <c r="H19" s="44"/>
      <c r="I19" s="42"/>
      <c r="J19" s="45"/>
      <c r="L19" s="28">
        <f>YEAR(D19)</f>
        <v>2024</v>
      </c>
      <c r="M19" s="6">
        <v>2023</v>
      </c>
      <c r="N19" s="38"/>
      <c r="O19" s="14">
        <f t="shared" si="6"/>
        <v>2013</v>
      </c>
      <c r="P19" s="15">
        <f t="shared" si="7"/>
        <v>0</v>
      </c>
      <c r="Q19" s="16">
        <f t="shared" si="8"/>
        <v>0</v>
      </c>
      <c r="R19" s="15">
        <f t="shared" si="0"/>
        <v>0</v>
      </c>
      <c r="S19" s="17">
        <f t="shared" si="9"/>
        <v>0</v>
      </c>
      <c r="T19" s="17">
        <f t="shared" si="1"/>
        <v>0</v>
      </c>
      <c r="V19" s="14">
        <f t="shared" si="13"/>
        <v>2013</v>
      </c>
      <c r="W19" s="18">
        <f t="shared" si="2"/>
        <v>200000.08437</v>
      </c>
      <c r="X19" s="19">
        <f t="shared" si="10"/>
        <v>30000.134779999993</v>
      </c>
      <c r="Y19" s="18">
        <f t="shared" si="3"/>
        <v>230000.21914999999</v>
      </c>
      <c r="Z19" s="17">
        <f t="shared" si="4"/>
        <v>1.506602</v>
      </c>
      <c r="AA19" s="18">
        <f t="shared" si="5"/>
        <v>-145400</v>
      </c>
      <c r="AB19" s="20" t="str">
        <f t="shared" si="11"/>
        <v>N/A</v>
      </c>
    </row>
    <row r="20" spans="1:28" ht="16" thickBot="1" x14ac:dyDescent="0.4">
      <c r="A20" s="21"/>
      <c r="B20" s="39"/>
      <c r="C20" s="40"/>
      <c r="D20" s="41"/>
      <c r="E20" s="42"/>
      <c r="F20" s="43"/>
      <c r="G20" s="42"/>
      <c r="H20" s="44"/>
      <c r="I20" s="42"/>
      <c r="J20" s="45"/>
      <c r="K20" s="37"/>
      <c r="N20" s="38"/>
      <c r="O20" s="29">
        <f t="shared" si="6"/>
        <v>2012</v>
      </c>
      <c r="P20" s="30">
        <f t="shared" si="7"/>
        <v>128108.0895128282</v>
      </c>
      <c r="Q20" s="31">
        <f t="shared" si="8"/>
        <v>348572.76195951999</v>
      </c>
      <c r="R20" s="30">
        <f t="shared" si="0"/>
        <v>476680.85147234821</v>
      </c>
      <c r="S20" s="32">
        <f t="shared" si="9"/>
        <v>3.122468</v>
      </c>
      <c r="T20" s="32">
        <f t="shared" si="1"/>
        <v>2.2833040000000002</v>
      </c>
      <c r="V20" s="29">
        <f t="shared" si="13"/>
        <v>2012</v>
      </c>
      <c r="W20" s="33">
        <f t="shared" si="2"/>
        <v>63949.929569099404</v>
      </c>
      <c r="X20" s="34">
        <f t="shared" si="10"/>
        <v>178730.81712095172</v>
      </c>
      <c r="Y20" s="33">
        <f t="shared" si="3"/>
        <v>242680.74669005111</v>
      </c>
      <c r="Z20" s="32">
        <f t="shared" si="4"/>
        <v>1.5896650000000001</v>
      </c>
      <c r="AA20" s="33">
        <f t="shared" si="5"/>
        <v>1004000</v>
      </c>
      <c r="AB20" s="35">
        <f t="shared" si="11"/>
        <v>0.24171389112554892</v>
      </c>
    </row>
    <row r="21" spans="1:28" ht="16" thickBot="1" x14ac:dyDescent="0.4">
      <c r="A21" s="21"/>
      <c r="B21" s="8">
        <v>2022</v>
      </c>
      <c r="C21" s="9"/>
      <c r="D21" s="9"/>
      <c r="E21" s="10">
        <f>SUM(E22:E23)</f>
        <v>700000.25769999996</v>
      </c>
      <c r="F21" s="11">
        <f>SUM(F22:F23)</f>
        <v>1.0624039999999999</v>
      </c>
      <c r="G21" s="10">
        <v>2262244.9482499068</v>
      </c>
      <c r="H21" s="12">
        <f>E21/G21</f>
        <v>0.30942726084614602</v>
      </c>
      <c r="I21" s="10">
        <v>936887.00000000035</v>
      </c>
      <c r="J21" s="13">
        <f>E21/I21</f>
        <v>0.74715548161090894</v>
      </c>
      <c r="K21" s="47"/>
      <c r="L21" s="28"/>
      <c r="M21" s="28"/>
      <c r="O21" s="14">
        <f t="shared" si="6"/>
        <v>2011</v>
      </c>
      <c r="P21" s="15">
        <f t="shared" si="7"/>
        <v>253409.09627822755</v>
      </c>
      <c r="Q21" s="16">
        <f t="shared" si="8"/>
        <v>643390.94117201155</v>
      </c>
      <c r="R21" s="15">
        <f t="shared" si="0"/>
        <v>896800.03745023906</v>
      </c>
      <c r="S21" s="17">
        <f t="shared" si="9"/>
        <v>5.9066460000000003</v>
      </c>
      <c r="T21" s="17">
        <f t="shared" si="1"/>
        <v>4.237603</v>
      </c>
      <c r="V21" s="14">
        <f t="shared" si="13"/>
        <v>2011</v>
      </c>
      <c r="W21" s="18">
        <f t="shared" si="2"/>
        <v>188847.40611372879</v>
      </c>
      <c r="X21" s="19">
        <f t="shared" si="10"/>
        <v>503138.44003945123</v>
      </c>
      <c r="Y21" s="18">
        <f t="shared" si="3"/>
        <v>691985.84615318</v>
      </c>
      <c r="Z21" s="17">
        <f t="shared" si="4"/>
        <v>4.5492609999999996</v>
      </c>
      <c r="AA21" s="18">
        <f t="shared" si="5"/>
        <v>805700</v>
      </c>
      <c r="AB21" s="20">
        <f t="shared" si="11"/>
        <v>0.85886290946156141</v>
      </c>
    </row>
    <row r="22" spans="1:28" x14ac:dyDescent="0.35">
      <c r="A22" s="21" t="str">
        <f>LEFT(B22,10)</f>
        <v>JCP</v>
      </c>
      <c r="B22" s="22" t="s">
        <v>20</v>
      </c>
      <c r="C22" s="23">
        <v>44922</v>
      </c>
      <c r="D22" s="23">
        <v>45027</v>
      </c>
      <c r="E22" s="24">
        <v>700000.25769999996</v>
      </c>
      <c r="F22" s="25">
        <v>1.0624039999999999</v>
      </c>
      <c r="G22" s="24"/>
      <c r="H22" s="26"/>
      <c r="I22" s="24"/>
      <c r="J22" s="27"/>
      <c r="K22" s="38"/>
      <c r="L22" s="28">
        <f>YEAR(D22)</f>
        <v>2023</v>
      </c>
      <c r="M22" s="28">
        <v>2022</v>
      </c>
      <c r="O22" s="29">
        <f t="shared" si="6"/>
        <v>2010</v>
      </c>
      <c r="P22" s="30">
        <f t="shared" si="7"/>
        <v>188565.86358539597</v>
      </c>
      <c r="Q22" s="31">
        <f t="shared" si="8"/>
        <v>578234.25287254399</v>
      </c>
      <c r="R22" s="30">
        <f t="shared" si="0"/>
        <v>766800.11645793996</v>
      </c>
      <c r="S22" s="32">
        <f t="shared" si="9"/>
        <v>5.0685079999999996</v>
      </c>
      <c r="T22" s="32">
        <f t="shared" si="1"/>
        <v>3.823372</v>
      </c>
      <c r="V22" s="29">
        <f t="shared" si="13"/>
        <v>2010</v>
      </c>
      <c r="W22" s="33">
        <f t="shared" si="2"/>
        <v>255365.56452052799</v>
      </c>
      <c r="X22" s="34">
        <f t="shared" si="10"/>
        <v>520046.14062267658</v>
      </c>
      <c r="Y22" s="33">
        <f t="shared" si="3"/>
        <v>775411.70514320454</v>
      </c>
      <c r="Z22" s="32">
        <f t="shared" si="4"/>
        <v>5.1071389999999992</v>
      </c>
      <c r="AA22" s="33">
        <f t="shared" si="5"/>
        <v>812171</v>
      </c>
      <c r="AB22" s="35">
        <f t="shared" si="11"/>
        <v>0.95473946390994568</v>
      </c>
    </row>
    <row r="23" spans="1:28" ht="16" thickBot="1" x14ac:dyDescent="0.4">
      <c r="A23" s="21"/>
      <c r="B23" s="22"/>
      <c r="C23" s="23"/>
      <c r="D23" s="23"/>
      <c r="E23" s="24"/>
      <c r="F23" s="25"/>
      <c r="G23" s="24"/>
      <c r="H23" s="26"/>
      <c r="I23" s="24"/>
      <c r="J23" s="27"/>
      <c r="K23" s="37"/>
      <c r="L23" s="28"/>
      <c r="M23" s="28"/>
      <c r="O23" s="14">
        <f t="shared" si="6"/>
        <v>2009</v>
      </c>
      <c r="P23" s="15">
        <f t="shared" si="7"/>
        <v>250610.21806138218</v>
      </c>
      <c r="Q23" s="16">
        <f t="shared" si="8"/>
        <v>392677.45157172135</v>
      </c>
      <c r="R23" s="15">
        <f t="shared" si="0"/>
        <v>643287.66963310353</v>
      </c>
      <c r="S23" s="17">
        <f t="shared" si="9"/>
        <v>4.2952880000000002</v>
      </c>
      <c r="T23" s="17">
        <f t="shared" si="1"/>
        <v>2.6240790000000001</v>
      </c>
      <c r="V23" s="14">
        <f t="shared" si="13"/>
        <v>2009</v>
      </c>
      <c r="W23" s="18">
        <f t="shared" si="2"/>
        <v>312530.36723447766</v>
      </c>
      <c r="X23" s="19">
        <f t="shared" si="10"/>
        <v>532569.28258487326</v>
      </c>
      <c r="Y23" s="18">
        <f t="shared" si="3"/>
        <v>845099.64981935092</v>
      </c>
      <c r="Z23" s="17">
        <f t="shared" si="4"/>
        <v>5.6169479999999989</v>
      </c>
      <c r="AA23" s="18">
        <f t="shared" si="5"/>
        <v>861975</v>
      </c>
      <c r="AB23" s="20">
        <f t="shared" si="11"/>
        <v>0.98042245983856946</v>
      </c>
    </row>
    <row r="24" spans="1:28" s="38" customFormat="1" ht="16" thickBot="1" x14ac:dyDescent="0.4">
      <c r="A24" s="21"/>
      <c r="B24" s="8">
        <v>2021</v>
      </c>
      <c r="C24" s="9"/>
      <c r="D24" s="9"/>
      <c r="E24" s="10">
        <f>SUM(E25:E29)</f>
        <v>1840191.8853199999</v>
      </c>
      <c r="F24" s="11">
        <f>SUM(F25:F29)</f>
        <v>2.7928950000000001</v>
      </c>
      <c r="G24" s="10">
        <v>3018599.1695399997</v>
      </c>
      <c r="H24" s="12">
        <f>E24/G24</f>
        <v>0.60961783329464847</v>
      </c>
      <c r="I24" s="10">
        <v>877567</v>
      </c>
      <c r="J24" s="13">
        <f>E24/I24</f>
        <v>2.0969246625271913</v>
      </c>
      <c r="K24" s="47"/>
      <c r="L24" s="28"/>
      <c r="M24" s="28"/>
      <c r="O24" s="29">
        <f t="shared" si="6"/>
        <v>2008</v>
      </c>
      <c r="P24" s="30">
        <f t="shared" si="7"/>
        <v>279020.74683174083</v>
      </c>
      <c r="Q24" s="31">
        <f t="shared" si="8"/>
        <v>436612.150475526</v>
      </c>
      <c r="R24" s="30">
        <f t="shared" si="0"/>
        <v>715632.89730726683</v>
      </c>
      <c r="S24" s="32">
        <f t="shared" si="9"/>
        <v>4.7937349999999999</v>
      </c>
      <c r="T24" s="32">
        <f t="shared" si="1"/>
        <v>2.9246880000000002</v>
      </c>
      <c r="U24" s="7"/>
      <c r="V24" s="29">
        <f t="shared" si="13"/>
        <v>2008</v>
      </c>
      <c r="W24" s="33">
        <f t="shared" si="2"/>
        <v>239898.21484661315</v>
      </c>
      <c r="X24" s="34">
        <f t="shared" si="10"/>
        <v>495002.75264445657</v>
      </c>
      <c r="Y24" s="33">
        <f t="shared" si="3"/>
        <v>734900.96749106969</v>
      </c>
      <c r="Z24" s="32">
        <f t="shared" si="4"/>
        <v>4.9228040000000002</v>
      </c>
      <c r="AA24" s="33">
        <f t="shared" si="5"/>
        <v>827065</v>
      </c>
      <c r="AB24" s="35">
        <f t="shared" si="11"/>
        <v>0.88856494651698437</v>
      </c>
    </row>
    <row r="25" spans="1:28" s="38" customFormat="1" x14ac:dyDescent="0.35">
      <c r="A25" s="21" t="str">
        <f t="shared" ref="A25:A56" si="14">LEFT(B25,10)</f>
        <v>JCP</v>
      </c>
      <c r="B25" s="39" t="s">
        <v>20</v>
      </c>
      <c r="C25" s="40">
        <v>44553</v>
      </c>
      <c r="D25" s="41">
        <v>44579</v>
      </c>
      <c r="E25" s="42">
        <v>114577.17103</v>
      </c>
      <c r="F25" s="43">
        <v>0.173896</v>
      </c>
      <c r="G25" s="42"/>
      <c r="H25" s="44"/>
      <c r="I25" s="42"/>
      <c r="J25" s="45"/>
      <c r="K25" s="47"/>
      <c r="L25" s="28">
        <f>YEAR(D25)</f>
        <v>2022</v>
      </c>
      <c r="M25" s="28">
        <v>2021</v>
      </c>
      <c r="O25" s="14">
        <f t="shared" si="6"/>
        <v>2007</v>
      </c>
      <c r="P25" s="15">
        <f t="shared" si="7"/>
        <v>226791.88448287919</v>
      </c>
      <c r="Q25" s="16">
        <f t="shared" si="8"/>
        <v>559356.99339199637</v>
      </c>
      <c r="R25" s="15">
        <f t="shared" si="0"/>
        <v>786148.87787487556</v>
      </c>
      <c r="S25" s="17">
        <f t="shared" si="9"/>
        <v>5.2660929999999997</v>
      </c>
      <c r="T25" s="17">
        <f t="shared" si="1"/>
        <v>3.7469060000000001</v>
      </c>
      <c r="U25" s="7"/>
      <c r="V25" s="14">
        <f t="shared" si="13"/>
        <v>2007</v>
      </c>
      <c r="W25" s="18">
        <f t="shared" si="2"/>
        <v>238737.37441436955</v>
      </c>
      <c r="X25" s="19">
        <f t="shared" si="10"/>
        <v>668758.59059417085</v>
      </c>
      <c r="Y25" s="18">
        <f t="shared" si="3"/>
        <v>907495.96500854043</v>
      </c>
      <c r="Z25" s="17">
        <f t="shared" si="4"/>
        <v>6.0789480000000005</v>
      </c>
      <c r="AA25" s="18">
        <f t="shared" si="5"/>
        <v>855483</v>
      </c>
      <c r="AB25" s="20">
        <f t="shared" si="11"/>
        <v>1.0607995308013607</v>
      </c>
    </row>
    <row r="26" spans="1:28" s="38" customFormat="1" x14ac:dyDescent="0.35">
      <c r="A26" s="21" t="str">
        <f t="shared" si="14"/>
        <v>Dividendos</v>
      </c>
      <c r="B26" s="39" t="s">
        <v>21</v>
      </c>
      <c r="C26" s="40">
        <v>44503</v>
      </c>
      <c r="D26" s="41">
        <v>44516</v>
      </c>
      <c r="E26" s="42">
        <f>348803596.77/1000</f>
        <v>348803.59677</v>
      </c>
      <c r="F26" s="43">
        <v>0.52938600000000002</v>
      </c>
      <c r="G26" s="42"/>
      <c r="H26" s="44"/>
      <c r="I26" s="42"/>
      <c r="J26" s="45"/>
      <c r="K26" s="47"/>
      <c r="L26" s="28">
        <f>YEAR(D26)</f>
        <v>2021</v>
      </c>
      <c r="M26" s="28">
        <v>2021</v>
      </c>
      <c r="O26" s="29">
        <f t="shared" si="6"/>
        <v>2006</v>
      </c>
      <c r="P26" s="30">
        <f t="shared" si="7"/>
        <v>89999.91691203705</v>
      </c>
      <c r="Q26" s="31">
        <f t="shared" si="8"/>
        <v>97299.955124062821</v>
      </c>
      <c r="R26" s="30">
        <f t="shared" si="0"/>
        <v>187299.87203609987</v>
      </c>
      <c r="S26" s="32">
        <f t="shared" si="9"/>
        <v>1.2546460000000002</v>
      </c>
      <c r="T26" s="32">
        <f t="shared" si="1"/>
        <v>0.65177300000000005</v>
      </c>
      <c r="U26" s="7"/>
      <c r="V26" s="29">
        <f t="shared" si="13"/>
        <v>2006</v>
      </c>
      <c r="W26" s="33">
        <f t="shared" si="2"/>
        <v>27177.042053637368</v>
      </c>
      <c r="X26" s="34">
        <f t="shared" si="10"/>
        <v>157898.4829608023</v>
      </c>
      <c r="Y26" s="33">
        <f t="shared" si="3"/>
        <v>185075.52501443966</v>
      </c>
      <c r="Z26" s="32">
        <f t="shared" si="4"/>
        <v>1.239746</v>
      </c>
      <c r="AA26" s="33">
        <f t="shared" si="5"/>
        <v>117752</v>
      </c>
      <c r="AB26" s="35">
        <f t="shared" si="11"/>
        <v>1.5717399705689896</v>
      </c>
    </row>
    <row r="27" spans="1:28" s="38" customFormat="1" x14ac:dyDescent="0.35">
      <c r="A27" s="21" t="str">
        <f t="shared" si="14"/>
        <v>JCP</v>
      </c>
      <c r="B27" s="39" t="s">
        <v>20</v>
      </c>
      <c r="C27" s="40">
        <v>44504</v>
      </c>
      <c r="D27" s="41">
        <v>44517</v>
      </c>
      <c r="E27" s="48">
        <f>514531855.34/1000</f>
        <v>514531.85533999995</v>
      </c>
      <c r="F27" s="49">
        <v>0.78091500000000003</v>
      </c>
      <c r="G27" s="48"/>
      <c r="H27" s="44"/>
      <c r="I27" s="48"/>
      <c r="J27" s="45"/>
      <c r="K27" s="47"/>
      <c r="L27" s="28">
        <f>YEAR(D27)</f>
        <v>2021</v>
      </c>
      <c r="M27" s="28">
        <v>2021</v>
      </c>
      <c r="O27" s="14">
        <f t="shared" si="6"/>
        <v>2005</v>
      </c>
      <c r="P27" s="15">
        <f t="shared" si="7"/>
        <v>224353.85086210462</v>
      </c>
      <c r="Q27" s="16">
        <f t="shared" si="8"/>
        <v>0</v>
      </c>
      <c r="R27" s="15">
        <f t="shared" si="0"/>
        <v>224353.85086210462</v>
      </c>
      <c r="S27" s="17">
        <f t="shared" si="9"/>
        <v>1.5028556000000002</v>
      </c>
      <c r="T27" s="17">
        <f t="shared" si="1"/>
        <v>0</v>
      </c>
      <c r="U27" s="7"/>
      <c r="V27" s="14">
        <f t="shared" si="13"/>
        <v>2005</v>
      </c>
      <c r="W27" s="18">
        <f t="shared" si="2"/>
        <v>239353.77232392895</v>
      </c>
      <c r="X27" s="19">
        <f t="shared" si="10"/>
        <v>0</v>
      </c>
      <c r="Y27" s="18">
        <f t="shared" si="3"/>
        <v>239353.77232392895</v>
      </c>
      <c r="Z27" s="17">
        <f t="shared" si="4"/>
        <v>1.603334</v>
      </c>
      <c r="AA27" s="18">
        <f t="shared" si="5"/>
        <v>468277</v>
      </c>
      <c r="AB27" s="20">
        <f t="shared" si="11"/>
        <v>0.51113715242031732</v>
      </c>
    </row>
    <row r="28" spans="1:28" s="38" customFormat="1" x14ac:dyDescent="0.35">
      <c r="A28" s="21" t="str">
        <f t="shared" si="14"/>
        <v>Dividendos</v>
      </c>
      <c r="B28" s="39" t="s">
        <v>21</v>
      </c>
      <c r="C28" s="40">
        <v>44384</v>
      </c>
      <c r="D28" s="41">
        <v>44392</v>
      </c>
      <c r="E28" s="48">
        <f>331116533.36/1000</f>
        <v>331116.53336</v>
      </c>
      <c r="F28" s="49">
        <v>0.50254200000000004</v>
      </c>
      <c r="G28" s="48"/>
      <c r="H28" s="44"/>
      <c r="I28" s="48"/>
      <c r="J28" s="45"/>
      <c r="K28" s="47"/>
      <c r="L28" s="28">
        <f>YEAR(D28)</f>
        <v>2021</v>
      </c>
      <c r="M28" s="28">
        <v>2021</v>
      </c>
      <c r="O28" s="29">
        <f t="shared" si="6"/>
        <v>2004</v>
      </c>
      <c r="P28" s="30">
        <f t="shared" si="7"/>
        <v>147248.99613225434</v>
      </c>
      <c r="Q28" s="31">
        <f t="shared" si="8"/>
        <v>0</v>
      </c>
      <c r="R28" s="30">
        <f t="shared" si="0"/>
        <v>147248.99613225434</v>
      </c>
      <c r="S28" s="32">
        <f t="shared" si="9"/>
        <v>0.98636140000000005</v>
      </c>
      <c r="T28" s="32">
        <f t="shared" si="1"/>
        <v>0</v>
      </c>
      <c r="U28" s="7"/>
      <c r="V28" s="29">
        <f t="shared" si="13"/>
        <v>2004</v>
      </c>
      <c r="W28" s="33">
        <f t="shared" si="2"/>
        <v>74999.995450212722</v>
      </c>
      <c r="X28" s="34">
        <f t="shared" si="10"/>
        <v>0</v>
      </c>
      <c r="Y28" s="33">
        <f t="shared" si="3"/>
        <v>74999.995450212722</v>
      </c>
      <c r="Z28" s="32">
        <f t="shared" si="4"/>
        <v>0.50239460000000002</v>
      </c>
      <c r="AA28" s="33">
        <f t="shared" si="5"/>
        <v>348778</v>
      </c>
      <c r="AB28" s="35">
        <f t="shared" si="11"/>
        <v>0.21503648581680243</v>
      </c>
    </row>
    <row r="29" spans="1:28" s="38" customFormat="1" x14ac:dyDescent="0.35">
      <c r="A29" s="21" t="str">
        <f t="shared" si="14"/>
        <v>Dividendos</v>
      </c>
      <c r="B29" s="39" t="s">
        <v>22</v>
      </c>
      <c r="C29" s="50">
        <v>44253</v>
      </c>
      <c r="D29" s="50">
        <v>44337</v>
      </c>
      <c r="E29" s="48">
        <f>531162728.82/1000</f>
        <v>531162.72881999996</v>
      </c>
      <c r="F29" s="49">
        <v>0.80615599999999998</v>
      </c>
      <c r="G29" s="48"/>
      <c r="H29" s="44"/>
      <c r="I29" s="48"/>
      <c r="J29" s="45"/>
      <c r="K29" s="7"/>
      <c r="L29" s="28">
        <f>YEAR(D29)</f>
        <v>2021</v>
      </c>
      <c r="M29" s="28">
        <v>2021</v>
      </c>
      <c r="O29" s="14">
        <f>O28-1</f>
        <v>2003</v>
      </c>
      <c r="P29" s="15">
        <f t="shared" si="7"/>
        <v>49999.88749111614</v>
      </c>
      <c r="Q29" s="16">
        <f>R29-P29</f>
        <v>12782.068339187106</v>
      </c>
      <c r="R29" s="15">
        <f t="shared" si="0"/>
        <v>62781.955830303246</v>
      </c>
      <c r="S29" s="17">
        <f t="shared" si="9"/>
        <v>0.42055089999999995</v>
      </c>
      <c r="T29" s="17">
        <f t="shared" si="1"/>
        <v>8.5621900000000001E-2</v>
      </c>
      <c r="U29" s="7"/>
      <c r="V29" s="14">
        <f>V28-1</f>
        <v>2003</v>
      </c>
      <c r="W29" s="18">
        <f t="shared" si="2"/>
        <v>147248.99613225434</v>
      </c>
      <c r="X29" s="19">
        <f>Y29-W29</f>
        <v>0</v>
      </c>
      <c r="Y29" s="18">
        <f t="shared" si="3"/>
        <v>147248.99613225434</v>
      </c>
      <c r="Z29" s="17">
        <f t="shared" si="4"/>
        <v>0.98636140000000005</v>
      </c>
      <c r="AA29" s="18">
        <f t="shared" si="5"/>
        <v>222376</v>
      </c>
      <c r="AB29" s="20">
        <f>IFERROR(IF(Y29/AA29&lt;0,"N/A",Y29/AA29),"N/A")</f>
        <v>0.66216226630686015</v>
      </c>
    </row>
    <row r="30" spans="1:28" s="38" customFormat="1" ht="16" thickBot="1" x14ac:dyDescent="0.4">
      <c r="A30" s="21" t="str">
        <f t="shared" si="14"/>
        <v/>
      </c>
      <c r="B30" s="39"/>
      <c r="C30" s="44"/>
      <c r="D30" s="44"/>
      <c r="E30" s="42"/>
      <c r="F30" s="43"/>
      <c r="G30" s="42"/>
      <c r="H30" s="44"/>
      <c r="I30" s="42"/>
      <c r="J30" s="45"/>
      <c r="K30" s="37"/>
      <c r="L30" s="28"/>
      <c r="M30" s="28"/>
      <c r="O30" s="29">
        <f t="shared" si="6"/>
        <v>2002</v>
      </c>
      <c r="P30" s="30">
        <f t="shared" si="7"/>
        <v>86352.883506724407</v>
      </c>
      <c r="Q30" s="31">
        <f t="shared" ref="Q30" si="15">R30-P30</f>
        <v>0</v>
      </c>
      <c r="R30" s="30">
        <f t="shared" si="0"/>
        <v>86352.883506724407</v>
      </c>
      <c r="S30" s="32">
        <f t="shared" si="9"/>
        <v>0.57844300000000004</v>
      </c>
      <c r="T30" s="32">
        <f t="shared" si="1"/>
        <v>0</v>
      </c>
      <c r="U30" s="7"/>
      <c r="V30" s="29">
        <f t="shared" si="13"/>
        <v>2002</v>
      </c>
      <c r="W30" s="33">
        <f t="shared" si="2"/>
        <v>136352.77099784056</v>
      </c>
      <c r="X30" s="34">
        <f t="shared" ref="X30" si="16">Y30-W30</f>
        <v>12782.06833918707</v>
      </c>
      <c r="Y30" s="33">
        <f t="shared" si="3"/>
        <v>149134.83933702763</v>
      </c>
      <c r="Z30" s="32">
        <f t="shared" si="4"/>
        <v>0.99899389999999988</v>
      </c>
      <c r="AA30" s="33">
        <f t="shared" si="5"/>
        <v>168137</v>
      </c>
      <c r="AB30" s="35">
        <f t="shared" ref="AB30" si="17">IFERROR(IF(Y30/AA30&lt;0,"N/A",Y30/AA30),"N/A")</f>
        <v>0.88698406262171703</v>
      </c>
    </row>
    <row r="31" spans="1:28" s="38" customFormat="1" ht="16" thickBot="1" x14ac:dyDescent="0.4">
      <c r="A31" s="21" t="str">
        <f t="shared" si="14"/>
        <v>2020</v>
      </c>
      <c r="B31" s="8">
        <v>2020</v>
      </c>
      <c r="C31" s="9"/>
      <c r="D31" s="9"/>
      <c r="E31" s="10">
        <f>SUM(E32:E37)</f>
        <v>1670629.4192249682</v>
      </c>
      <c r="F31" s="11">
        <f>SUM(F32:F37)</f>
        <v>2.5355469999999998</v>
      </c>
      <c r="G31" s="10">
        <v>3361503</v>
      </c>
      <c r="H31" s="12">
        <f>E31/G31</f>
        <v>0.49698882292384333</v>
      </c>
      <c r="I31" s="10">
        <v>2002390</v>
      </c>
      <c r="J31" s="13">
        <f>E31/I31</f>
        <v>0.83431769996103067</v>
      </c>
      <c r="K31" s="47"/>
      <c r="L31" s="28"/>
      <c r="M31" s="28"/>
      <c r="O31" s="51" t="s">
        <v>23</v>
      </c>
      <c r="P31" s="52">
        <f>SUM(P7:P30)</f>
        <v>8817638.251445666</v>
      </c>
      <c r="Q31" s="52">
        <f t="shared" ref="Q31:T31" si="18">SUM(Q7:Q30)</f>
        <v>8444808.7529625595</v>
      </c>
      <c r="R31" s="52">
        <f t="shared" si="18"/>
        <v>17262447.004408225</v>
      </c>
      <c r="S31" s="53">
        <f t="shared" si="18"/>
        <v>68.439300900001399</v>
      </c>
      <c r="T31" s="53">
        <f t="shared" si="18"/>
        <v>41.308711900000006</v>
      </c>
      <c r="U31" s="7"/>
      <c r="V31" s="54" t="s">
        <v>23</v>
      </c>
      <c r="W31" s="55">
        <f>SUM(W7:W30)</f>
        <v>8817638.2514456678</v>
      </c>
      <c r="X31" s="55">
        <f t="shared" ref="X31:AA31" si="19">SUM(X7:X30)</f>
        <v>8444808.7529625595</v>
      </c>
      <c r="Y31" s="55">
        <f>SUM(Y7:Y30)</f>
        <v>17262447.004408225</v>
      </c>
      <c r="Z31" s="53">
        <f t="shared" si="19"/>
        <v>68.439300900001413</v>
      </c>
      <c r="AA31" s="55">
        <f>SUM(AA7:AA30)</f>
        <v>18637435.934210017</v>
      </c>
      <c r="AB31" s="56">
        <f>IFERROR(IF(Y31/AA31&lt;0,"N/A",Y31/AA31),"N/A")</f>
        <v>0.92622435110411694</v>
      </c>
    </row>
    <row r="32" spans="1:28" s="38" customFormat="1" x14ac:dyDescent="0.35">
      <c r="A32" s="21" t="str">
        <f t="shared" si="14"/>
        <v>Dividendos</v>
      </c>
      <c r="B32" s="22" t="s">
        <v>22</v>
      </c>
      <c r="C32" s="23">
        <v>44286</v>
      </c>
      <c r="D32" s="23">
        <v>44337</v>
      </c>
      <c r="E32" s="24">
        <v>524449.36683496798</v>
      </c>
      <c r="F32" s="25">
        <v>0.79596699999999998</v>
      </c>
      <c r="G32" s="24"/>
      <c r="H32" s="26"/>
      <c r="I32" s="24"/>
      <c r="J32" s="27"/>
      <c r="K32" s="47"/>
      <c r="L32" s="28">
        <f t="shared" ref="L32:L37" si="20">YEAR(D32)</f>
        <v>2021</v>
      </c>
      <c r="M32" s="28">
        <v>2020</v>
      </c>
      <c r="U32" s="7"/>
      <c r="V32" s="58"/>
      <c r="W32" s="58"/>
      <c r="X32" s="58"/>
      <c r="Y32" s="59">
        <f>Y31-SUM($E12,$E17,$E21,$E24,$E31,$E39,$E45,$E50,$E55,$E59,$E63,$E68,$E72,$E78,$E86,$E97,$E109,$E120,$E129,$E134,$E139,$E142,$E145,E7)</f>
        <v>0</v>
      </c>
      <c r="Z32" s="7"/>
      <c r="AA32" s="59"/>
      <c r="AB32" s="60"/>
    </row>
    <row r="33" spans="1:28" x14ac:dyDescent="0.35">
      <c r="A33" s="21" t="str">
        <f t="shared" si="14"/>
        <v>Dividendos</v>
      </c>
      <c r="B33" s="22" t="s">
        <v>21</v>
      </c>
      <c r="C33" s="23">
        <v>44182</v>
      </c>
      <c r="D33" s="23">
        <v>44214</v>
      </c>
      <c r="E33" s="24">
        <f>115999700.09/1000</f>
        <v>115999.70009</v>
      </c>
      <c r="F33" s="25">
        <v>0.17605499999999999</v>
      </c>
      <c r="G33" s="24"/>
      <c r="H33" s="26"/>
      <c r="I33" s="24"/>
      <c r="J33" s="27"/>
      <c r="K33" s="47"/>
      <c r="L33" s="28">
        <f t="shared" si="20"/>
        <v>2021</v>
      </c>
      <c r="M33" s="28">
        <v>2020</v>
      </c>
      <c r="O33" s="7"/>
      <c r="P33" s="7"/>
      <c r="Q33" s="7"/>
      <c r="V33" s="7"/>
      <c r="W33" s="7"/>
      <c r="X33" s="7"/>
      <c r="AB33" s="7"/>
    </row>
    <row r="34" spans="1:28" x14ac:dyDescent="0.35">
      <c r="A34" s="21" t="str">
        <f t="shared" si="14"/>
        <v>JCP</v>
      </c>
      <c r="B34" s="22" t="s">
        <v>20</v>
      </c>
      <c r="C34" s="23">
        <v>44182</v>
      </c>
      <c r="D34" s="23">
        <v>44214</v>
      </c>
      <c r="E34" s="24">
        <f>435847352.3/1000</f>
        <v>435847.35230000003</v>
      </c>
      <c r="F34" s="25">
        <v>0.66149400000000003</v>
      </c>
      <c r="G34" s="24"/>
      <c r="H34" s="26"/>
      <c r="I34" s="24"/>
      <c r="J34" s="27"/>
      <c r="K34" s="38"/>
      <c r="L34" s="28">
        <f t="shared" si="20"/>
        <v>2021</v>
      </c>
      <c r="M34" s="28">
        <v>2020</v>
      </c>
      <c r="O34" s="7"/>
      <c r="P34" s="7"/>
      <c r="Q34" s="7"/>
      <c r="V34" s="7"/>
      <c r="W34" s="7"/>
      <c r="X34" s="7"/>
      <c r="AB34" s="7"/>
    </row>
    <row r="35" spans="1:28" x14ac:dyDescent="0.35">
      <c r="A35" s="21" t="str">
        <f t="shared" si="14"/>
        <v>Dividendos</v>
      </c>
      <c r="B35" s="22" t="s">
        <v>21</v>
      </c>
      <c r="C35" s="23">
        <v>44140</v>
      </c>
      <c r="D35" s="23">
        <v>44148</v>
      </c>
      <c r="E35" s="24">
        <v>344000</v>
      </c>
      <c r="F35" s="25">
        <v>0.52209499999999998</v>
      </c>
      <c r="G35" s="24"/>
      <c r="H35" s="26"/>
      <c r="I35" s="24"/>
      <c r="J35" s="27"/>
      <c r="K35" s="38"/>
      <c r="L35" s="28">
        <f t="shared" si="20"/>
        <v>2020</v>
      </c>
      <c r="M35" s="28">
        <v>2020</v>
      </c>
      <c r="O35" s="7"/>
      <c r="P35" s="7"/>
      <c r="Q35" s="7"/>
      <c r="V35" s="7"/>
      <c r="W35" s="7"/>
      <c r="X35" s="7"/>
      <c r="AB35" s="7"/>
    </row>
    <row r="36" spans="1:28" x14ac:dyDescent="0.35">
      <c r="A36" s="21" t="str">
        <f t="shared" si="14"/>
        <v>Dividendos</v>
      </c>
      <c r="B36" s="22" t="s">
        <v>21</v>
      </c>
      <c r="C36" s="23">
        <v>44019</v>
      </c>
      <c r="D36" s="23">
        <v>44028</v>
      </c>
      <c r="E36" s="24">
        <v>100000</v>
      </c>
      <c r="F36" s="25">
        <v>0.15177199999999999</v>
      </c>
      <c r="G36" s="24"/>
      <c r="H36" s="26"/>
      <c r="I36" s="24"/>
      <c r="J36" s="27"/>
      <c r="K36" s="38"/>
      <c r="L36" s="28">
        <f t="shared" si="20"/>
        <v>2020</v>
      </c>
      <c r="M36" s="28">
        <v>2020</v>
      </c>
      <c r="V36" s="7"/>
      <c r="W36" s="7"/>
      <c r="X36" s="7"/>
      <c r="AB36" s="7"/>
    </row>
    <row r="37" spans="1:28" s="38" customFormat="1" x14ac:dyDescent="0.35">
      <c r="A37" s="21" t="str">
        <f t="shared" si="14"/>
        <v>JCP</v>
      </c>
      <c r="B37" s="22" t="s">
        <v>20</v>
      </c>
      <c r="C37" s="23">
        <v>43938</v>
      </c>
      <c r="D37" s="23">
        <v>43950</v>
      </c>
      <c r="E37" s="24">
        <v>150333</v>
      </c>
      <c r="F37" s="25">
        <v>0.22816400000000001</v>
      </c>
      <c r="G37" s="24"/>
      <c r="H37" s="26"/>
      <c r="I37" s="24"/>
      <c r="J37" s="27"/>
      <c r="L37" s="28">
        <f t="shared" si="20"/>
        <v>2020</v>
      </c>
      <c r="M37" s="28">
        <v>2020</v>
      </c>
      <c r="U37" s="7"/>
    </row>
    <row r="38" spans="1:28" s="38" customFormat="1" ht="16" thickBot="1" x14ac:dyDescent="0.4">
      <c r="A38" s="21" t="str">
        <f t="shared" si="14"/>
        <v/>
      </c>
      <c r="B38" s="22"/>
      <c r="C38" s="23"/>
      <c r="D38" s="23"/>
      <c r="E38" s="24"/>
      <c r="F38" s="25"/>
      <c r="G38" s="24"/>
      <c r="H38" s="26"/>
      <c r="I38" s="24"/>
      <c r="J38" s="27"/>
      <c r="K38" s="37"/>
      <c r="L38" s="28"/>
      <c r="M38" s="28"/>
      <c r="U38" s="7"/>
    </row>
    <row r="39" spans="1:28" s="38" customFormat="1" ht="16" thickBot="1" x14ac:dyDescent="0.4">
      <c r="A39" s="21" t="str">
        <f t="shared" si="14"/>
        <v>2019</v>
      </c>
      <c r="B39" s="8">
        <v>2019</v>
      </c>
      <c r="C39" s="9"/>
      <c r="D39" s="9"/>
      <c r="E39" s="10">
        <f>SUM(E40:E43)</f>
        <v>995260.36165999994</v>
      </c>
      <c r="F39" s="11">
        <f>SUM(F40:F43)</f>
        <v>1.510526</v>
      </c>
      <c r="G39" s="10">
        <v>1762631</v>
      </c>
      <c r="H39" s="12">
        <f>E39/G39</f>
        <v>0.564644762097115</v>
      </c>
      <c r="I39" s="10">
        <v>1221830</v>
      </c>
      <c r="J39" s="13">
        <f>E39/I39</f>
        <v>0.81456533368799255</v>
      </c>
      <c r="K39" s="47"/>
      <c r="L39" s="28"/>
      <c r="M39" s="28"/>
      <c r="U39" s="7"/>
    </row>
    <row r="40" spans="1:28" s="38" customFormat="1" x14ac:dyDescent="0.35">
      <c r="A40" s="21" t="str">
        <f t="shared" si="14"/>
        <v>JCP</v>
      </c>
      <c r="B40" s="39" t="s">
        <v>20</v>
      </c>
      <c r="C40" s="50">
        <v>43815</v>
      </c>
      <c r="D40" s="50">
        <v>43850</v>
      </c>
      <c r="E40" s="42">
        <v>107845.36032000001</v>
      </c>
      <c r="F40" s="43">
        <v>0.16367899999999999</v>
      </c>
      <c r="G40" s="42"/>
      <c r="H40" s="44"/>
      <c r="I40" s="42"/>
      <c r="J40" s="45"/>
      <c r="K40" s="47"/>
      <c r="L40" s="28">
        <f>YEAR(D40)</f>
        <v>2020</v>
      </c>
      <c r="M40" s="28">
        <v>2019</v>
      </c>
      <c r="U40" s="7"/>
    </row>
    <row r="41" spans="1:28" s="38" customFormat="1" x14ac:dyDescent="0.35">
      <c r="A41" s="21" t="str">
        <f t="shared" si="14"/>
        <v>Dividendos</v>
      </c>
      <c r="B41" s="39" t="s">
        <v>21</v>
      </c>
      <c r="C41" s="50">
        <v>43780</v>
      </c>
      <c r="D41" s="50">
        <v>43802</v>
      </c>
      <c r="E41" s="42">
        <f>293555572.85/1000</f>
        <v>293555.57285</v>
      </c>
      <c r="F41" s="43">
        <v>0.44553500000000001</v>
      </c>
      <c r="G41" s="42"/>
      <c r="H41" s="44"/>
      <c r="I41" s="42"/>
      <c r="J41" s="45"/>
      <c r="K41" s="47"/>
      <c r="L41" s="28">
        <f>YEAR(D41)</f>
        <v>2019</v>
      </c>
      <c r="M41" s="28">
        <v>2019</v>
      </c>
      <c r="O41" s="58"/>
      <c r="P41" s="58"/>
      <c r="Q41" s="58"/>
      <c r="U41" s="7"/>
      <c r="V41" s="58"/>
      <c r="W41" s="58"/>
      <c r="X41" s="58"/>
      <c r="AB41" s="61"/>
    </row>
    <row r="42" spans="1:28" s="38" customFormat="1" x14ac:dyDescent="0.35">
      <c r="A42" s="21" t="str">
        <f t="shared" si="14"/>
        <v>JCP</v>
      </c>
      <c r="B42" s="39" t="s">
        <v>20</v>
      </c>
      <c r="C42" s="50">
        <v>43780</v>
      </c>
      <c r="D42" s="50">
        <v>43802</v>
      </c>
      <c r="E42" s="42">
        <v>223444.45934999999</v>
      </c>
      <c r="F42" s="43">
        <v>0.33912599999999998</v>
      </c>
      <c r="G42" s="42"/>
      <c r="H42" s="44"/>
      <c r="I42" s="42"/>
      <c r="J42" s="45"/>
      <c r="K42" s="47"/>
      <c r="L42" s="28">
        <f>YEAR(D42)</f>
        <v>2019</v>
      </c>
      <c r="M42" s="28">
        <v>2019</v>
      </c>
      <c r="O42" s="58"/>
      <c r="P42" s="58"/>
      <c r="Q42" s="58"/>
      <c r="U42" s="7"/>
      <c r="V42" s="58"/>
      <c r="W42" s="58"/>
      <c r="X42" s="58"/>
      <c r="AB42" s="61"/>
    </row>
    <row r="43" spans="1:28" s="38" customFormat="1" x14ac:dyDescent="0.35">
      <c r="A43" s="21" t="str">
        <f t="shared" si="14"/>
        <v>JCP</v>
      </c>
      <c r="B43" s="39" t="s">
        <v>20</v>
      </c>
      <c r="C43" s="50">
        <v>43682</v>
      </c>
      <c r="D43" s="50">
        <v>43696</v>
      </c>
      <c r="E43" s="42">
        <f>370414969.14/1000</f>
        <v>370414.96914</v>
      </c>
      <c r="F43" s="43">
        <v>0.56218599999999996</v>
      </c>
      <c r="G43" s="42"/>
      <c r="H43" s="44"/>
      <c r="I43" s="42"/>
      <c r="J43" s="45"/>
      <c r="L43" s="28">
        <f>YEAR(D43)</f>
        <v>2019</v>
      </c>
      <c r="M43" s="28">
        <v>2019</v>
      </c>
      <c r="O43" s="57"/>
      <c r="P43" s="57"/>
      <c r="Q43" s="57"/>
      <c r="R43" s="7"/>
      <c r="S43" s="7"/>
      <c r="T43" s="7"/>
      <c r="U43" s="7"/>
      <c r="V43" s="57"/>
      <c r="W43" s="57"/>
      <c r="X43" s="57"/>
      <c r="Y43" s="7"/>
      <c r="Z43" s="7"/>
      <c r="AA43" s="7"/>
      <c r="AB43" s="62"/>
    </row>
    <row r="44" spans="1:28" ht="16" thickBot="1" x14ac:dyDescent="0.4">
      <c r="A44" s="21" t="str">
        <f t="shared" si="14"/>
        <v/>
      </c>
      <c r="B44" s="39"/>
      <c r="C44" s="44"/>
      <c r="D44" s="44"/>
      <c r="E44" s="42"/>
      <c r="F44" s="43"/>
      <c r="G44" s="42"/>
      <c r="H44" s="44"/>
      <c r="I44" s="42"/>
      <c r="J44" s="45"/>
      <c r="K44" s="37"/>
      <c r="L44" s="28"/>
      <c r="M44" s="28"/>
    </row>
    <row r="45" spans="1:28" ht="16" thickBot="1" x14ac:dyDescent="0.4">
      <c r="A45" s="21" t="str">
        <f t="shared" si="14"/>
        <v>2018</v>
      </c>
      <c r="B45" s="8">
        <v>2018</v>
      </c>
      <c r="C45" s="9"/>
      <c r="D45" s="9"/>
      <c r="E45" s="10">
        <f>SUM(E46:E48)</f>
        <v>1985306.6502900003</v>
      </c>
      <c r="F45" s="11">
        <f>SUM(F46:F48)</f>
        <v>12.052554000000001</v>
      </c>
      <c r="G45" s="10">
        <v>1881668</v>
      </c>
      <c r="H45" s="12">
        <f>E45/G45</f>
        <v>1.0550780745009216</v>
      </c>
      <c r="I45" s="10">
        <v>1276311</v>
      </c>
      <c r="J45" s="13">
        <f>E45/I45</f>
        <v>1.5555038311900471</v>
      </c>
      <c r="K45" s="47"/>
      <c r="L45" s="28"/>
      <c r="M45" s="28"/>
    </row>
    <row r="46" spans="1:28" x14ac:dyDescent="0.35">
      <c r="A46" s="21" t="str">
        <f t="shared" si="14"/>
        <v>Dividendos</v>
      </c>
      <c r="B46" s="22" t="s">
        <v>21</v>
      </c>
      <c r="C46" s="23">
        <v>43441</v>
      </c>
      <c r="D46" s="23">
        <v>43451</v>
      </c>
      <c r="E46" s="24">
        <f>633000061.73/1000</f>
        <v>633000.06173000007</v>
      </c>
      <c r="F46" s="25">
        <v>3.8428659999999999</v>
      </c>
      <c r="G46" s="24"/>
      <c r="H46" s="26"/>
      <c r="I46" s="24"/>
      <c r="J46" s="27"/>
      <c r="K46" s="47"/>
      <c r="L46" s="28">
        <f>YEAR(D46)</f>
        <v>2018</v>
      </c>
      <c r="M46" s="28">
        <v>2018</v>
      </c>
    </row>
    <row r="47" spans="1:28" x14ac:dyDescent="0.35">
      <c r="A47" s="21" t="str">
        <f t="shared" si="14"/>
        <v>JCP</v>
      </c>
      <c r="B47" s="22" t="s">
        <v>20</v>
      </c>
      <c r="C47" s="23">
        <v>43441</v>
      </c>
      <c r="D47" s="23">
        <v>43451</v>
      </c>
      <c r="E47" s="24">
        <v>592000.05981000001</v>
      </c>
      <c r="F47" s="25">
        <v>3.59396</v>
      </c>
      <c r="G47" s="24"/>
      <c r="H47" s="26"/>
      <c r="I47" s="24"/>
      <c r="J47" s="27"/>
      <c r="K47" s="47"/>
      <c r="L47" s="28">
        <f>YEAR(D47)</f>
        <v>2018</v>
      </c>
      <c r="M47" s="28">
        <v>2018</v>
      </c>
    </row>
    <row r="48" spans="1:28" x14ac:dyDescent="0.35">
      <c r="A48" s="21" t="str">
        <f t="shared" si="14"/>
        <v>Dividendos</v>
      </c>
      <c r="B48" s="22" t="s">
        <v>22</v>
      </c>
      <c r="C48" s="23">
        <v>43257</v>
      </c>
      <c r="D48" s="23">
        <v>43269</v>
      </c>
      <c r="E48" s="24">
        <f>760306528.75/1000</f>
        <v>760306.52875000006</v>
      </c>
      <c r="F48" s="25">
        <v>4.6157279999999998</v>
      </c>
      <c r="G48" s="24"/>
      <c r="H48" s="26"/>
      <c r="I48" s="24"/>
      <c r="J48" s="27"/>
      <c r="K48" s="47"/>
      <c r="L48" s="28">
        <f>YEAR(D48)</f>
        <v>2018</v>
      </c>
      <c r="M48" s="28">
        <v>2018</v>
      </c>
    </row>
    <row r="49" spans="1:15" ht="16" thickBot="1" x14ac:dyDescent="0.4">
      <c r="A49" s="21" t="str">
        <f t="shared" si="14"/>
        <v/>
      </c>
      <c r="B49" s="22"/>
      <c r="C49" s="23"/>
      <c r="D49" s="23"/>
      <c r="E49" s="24"/>
      <c r="F49" s="25"/>
      <c r="G49" s="24"/>
      <c r="H49" s="26"/>
      <c r="I49" s="24"/>
      <c r="J49" s="27"/>
      <c r="K49" s="37"/>
      <c r="L49" s="28"/>
      <c r="M49" s="28"/>
    </row>
    <row r="50" spans="1:15" ht="16" thickBot="1" x14ac:dyDescent="0.4">
      <c r="A50" s="21" t="str">
        <f t="shared" si="14"/>
        <v>2017</v>
      </c>
      <c r="B50" s="8">
        <v>2017</v>
      </c>
      <c r="C50" s="9"/>
      <c r="D50" s="9"/>
      <c r="E50" s="10">
        <f>SUM(E51:E53)</f>
        <v>585093.64501741016</v>
      </c>
      <c r="F50" s="11">
        <f>SUM(F51:F53)</f>
        <v>3.5520320000000001</v>
      </c>
      <c r="G50" s="10">
        <v>1365512</v>
      </c>
      <c r="H50" s="12">
        <f>E50/(G50)</f>
        <v>0.42847931399900563</v>
      </c>
      <c r="I50" s="10">
        <v>615474</v>
      </c>
      <c r="J50" s="13">
        <f>E50/I50</f>
        <v>0.95063909282505865</v>
      </c>
      <c r="K50" s="47"/>
      <c r="L50" s="28"/>
      <c r="M50" s="28"/>
      <c r="O50" s="63"/>
    </row>
    <row r="51" spans="1:15" x14ac:dyDescent="0.35">
      <c r="A51" s="21" t="str">
        <f t="shared" si="14"/>
        <v>Dividendos</v>
      </c>
      <c r="B51" s="39" t="s">
        <v>21</v>
      </c>
      <c r="C51" s="50">
        <v>43208</v>
      </c>
      <c r="D51" s="50">
        <v>43266</v>
      </c>
      <c r="E51" s="42">
        <v>84693.518779316088</v>
      </c>
      <c r="F51" s="43">
        <v>0.51416399999999995</v>
      </c>
      <c r="G51" s="42"/>
      <c r="H51" s="44"/>
      <c r="I51" s="42"/>
      <c r="J51" s="45"/>
      <c r="K51" s="47"/>
      <c r="L51" s="28">
        <f>YEAR(D51)</f>
        <v>2018</v>
      </c>
      <c r="M51" s="28">
        <v>2017</v>
      </c>
      <c r="O51" s="63"/>
    </row>
    <row r="52" spans="1:15" x14ac:dyDescent="0.35">
      <c r="A52" s="21" t="str">
        <f t="shared" si="14"/>
        <v>Dividendos</v>
      </c>
      <c r="B52" s="39" t="s">
        <v>21</v>
      </c>
      <c r="C52" s="50">
        <v>43060</v>
      </c>
      <c r="D52" s="50">
        <v>43067</v>
      </c>
      <c r="E52" s="42">
        <v>365400.04359433585</v>
      </c>
      <c r="F52" s="43">
        <v>2.218299</v>
      </c>
      <c r="G52" s="42"/>
      <c r="H52" s="44"/>
      <c r="I52" s="42"/>
      <c r="J52" s="45"/>
      <c r="K52" s="47"/>
      <c r="L52" s="28">
        <f>YEAR(D52)</f>
        <v>2017</v>
      </c>
      <c r="M52" s="28">
        <v>2017</v>
      </c>
      <c r="O52" s="63"/>
    </row>
    <row r="53" spans="1:15" x14ac:dyDescent="0.35">
      <c r="A53" s="21" t="str">
        <f t="shared" si="14"/>
        <v>Dividendos</v>
      </c>
      <c r="B53" s="39" t="s">
        <v>21</v>
      </c>
      <c r="C53" s="50">
        <v>42888</v>
      </c>
      <c r="D53" s="50">
        <v>42899</v>
      </c>
      <c r="E53" s="42">
        <v>135000.08264375824</v>
      </c>
      <c r="F53" s="43">
        <v>0.81956899999999999</v>
      </c>
      <c r="G53" s="42"/>
      <c r="H53" s="44"/>
      <c r="I53" s="42"/>
      <c r="J53" s="45"/>
      <c r="L53" s="28">
        <f>YEAR(D53)</f>
        <v>2017</v>
      </c>
      <c r="M53" s="28">
        <v>2017</v>
      </c>
    </row>
    <row r="54" spans="1:15" ht="16" thickBot="1" x14ac:dyDescent="0.4">
      <c r="A54" s="21" t="str">
        <f t="shared" si="14"/>
        <v/>
      </c>
      <c r="B54" s="39"/>
      <c r="C54" s="44"/>
      <c r="D54" s="44"/>
      <c r="E54" s="42"/>
      <c r="F54" s="43"/>
      <c r="G54" s="42"/>
      <c r="H54" s="44"/>
      <c r="I54" s="42"/>
      <c r="J54" s="45"/>
      <c r="K54" s="37"/>
      <c r="L54" s="28"/>
      <c r="M54" s="28"/>
    </row>
    <row r="55" spans="1:15" ht="16" thickBot="1" x14ac:dyDescent="0.4">
      <c r="A55" s="21" t="str">
        <f t="shared" si="14"/>
        <v>2016</v>
      </c>
      <c r="B55" s="8">
        <v>2016</v>
      </c>
      <c r="C55" s="9"/>
      <c r="D55" s="9"/>
      <c r="E55" s="10">
        <f>SUM(E56:E57)</f>
        <v>247500.12406008574</v>
      </c>
      <c r="F55" s="11">
        <f>SUM(F56:F57)</f>
        <v>1.502543</v>
      </c>
      <c r="G55" s="10">
        <v>4932312</v>
      </c>
      <c r="H55" s="12">
        <f>E55/(G55)</f>
        <v>5.0179332544268436E-2</v>
      </c>
      <c r="I55" s="10">
        <v>228785</v>
      </c>
      <c r="J55" s="13">
        <f>E55/I55</f>
        <v>1.0818022338006676</v>
      </c>
      <c r="K55" s="47"/>
      <c r="L55" s="28"/>
      <c r="M55" s="28"/>
      <c r="O55" s="63"/>
    </row>
    <row r="56" spans="1:15" x14ac:dyDescent="0.35">
      <c r="A56" s="21" t="str">
        <f t="shared" si="14"/>
        <v>Dividendos</v>
      </c>
      <c r="B56" s="22" t="s">
        <v>21</v>
      </c>
      <c r="C56" s="23">
        <v>42709</v>
      </c>
      <c r="D56" s="23">
        <v>42755</v>
      </c>
      <c r="E56" s="24">
        <v>137500.05061995587</v>
      </c>
      <c r="F56" s="25">
        <v>0.83474599999999999</v>
      </c>
      <c r="G56" s="24"/>
      <c r="H56" s="26"/>
      <c r="I56" s="24"/>
      <c r="J56" s="27"/>
      <c r="K56" s="47"/>
      <c r="L56" s="28">
        <f>YEAR(D56)</f>
        <v>2017</v>
      </c>
      <c r="M56" s="28">
        <v>2016</v>
      </c>
      <c r="O56" s="63"/>
    </row>
    <row r="57" spans="1:15" x14ac:dyDescent="0.35">
      <c r="A57" s="21" t="str">
        <f t="shared" ref="A57:A88" si="21">LEFT(B57,10)</f>
        <v>Dividendos</v>
      </c>
      <c r="B57" s="22" t="s">
        <v>21</v>
      </c>
      <c r="C57" s="23">
        <v>42543</v>
      </c>
      <c r="D57" s="23">
        <v>42552</v>
      </c>
      <c r="E57" s="24">
        <v>110000.07344012988</v>
      </c>
      <c r="F57" s="25">
        <v>0.66779699999999997</v>
      </c>
      <c r="G57" s="24"/>
      <c r="H57" s="26"/>
      <c r="I57" s="24"/>
      <c r="J57" s="27"/>
      <c r="L57" s="28">
        <f>YEAR(D57)</f>
        <v>2016</v>
      </c>
      <c r="M57" s="28">
        <v>2016</v>
      </c>
    </row>
    <row r="58" spans="1:15" ht="16" thickBot="1" x14ac:dyDescent="0.4">
      <c r="A58" s="21" t="str">
        <f t="shared" si="21"/>
        <v/>
      </c>
      <c r="B58" s="22"/>
      <c r="C58" s="23"/>
      <c r="D58" s="23"/>
      <c r="E58" s="24"/>
      <c r="F58" s="25"/>
      <c r="G58" s="24"/>
      <c r="H58" s="26"/>
      <c r="I58" s="24"/>
      <c r="J58" s="27"/>
      <c r="K58" s="37"/>
      <c r="L58" s="28"/>
      <c r="M58" s="28"/>
    </row>
    <row r="59" spans="1:15" ht="16" thickBot="1" x14ac:dyDescent="0.4">
      <c r="A59" s="21" t="str">
        <f t="shared" si="21"/>
        <v>2015</v>
      </c>
      <c r="B59" s="8">
        <v>2015</v>
      </c>
      <c r="C59" s="9"/>
      <c r="D59" s="9"/>
      <c r="E59" s="10">
        <f>SUM(E60:E61)</f>
        <v>334865.09512999997</v>
      </c>
      <c r="F59" s="11">
        <f>SUM(F60:F61)</f>
        <v>2.0765609999999999</v>
      </c>
      <c r="G59" s="10">
        <v>504430</v>
      </c>
      <c r="H59" s="12">
        <f>E59/(G59)</f>
        <v>0.66384849261542722</v>
      </c>
      <c r="I59" s="10">
        <v>271887</v>
      </c>
      <c r="J59" s="13">
        <f>E59/I59</f>
        <v>1.231633344477669</v>
      </c>
      <c r="K59" s="47"/>
      <c r="L59" s="28"/>
      <c r="M59" s="28"/>
      <c r="O59" s="64"/>
    </row>
    <row r="60" spans="1:15" x14ac:dyDescent="0.35">
      <c r="A60" s="21" t="str">
        <f t="shared" si="21"/>
        <v>Dividendos</v>
      </c>
      <c r="B60" s="39" t="s">
        <v>21</v>
      </c>
      <c r="C60" s="50">
        <v>42334</v>
      </c>
      <c r="D60" s="50">
        <v>42345</v>
      </c>
      <c r="E60" s="42">
        <f>224100006.98/1000</f>
        <v>224100.00697999998</v>
      </c>
      <c r="F60" s="43">
        <v>1.389686</v>
      </c>
      <c r="G60" s="42"/>
      <c r="H60" s="44"/>
      <c r="I60" s="42"/>
      <c r="J60" s="45"/>
      <c r="K60" s="47"/>
      <c r="L60" s="28">
        <f>YEAR(D60)</f>
        <v>2015</v>
      </c>
      <c r="M60" s="28">
        <v>2015</v>
      </c>
    </row>
    <row r="61" spans="1:15" x14ac:dyDescent="0.35">
      <c r="A61" s="21" t="str">
        <f t="shared" si="21"/>
        <v>Dividendos</v>
      </c>
      <c r="B61" s="39" t="s">
        <v>21</v>
      </c>
      <c r="C61" s="50">
        <v>42151</v>
      </c>
      <c r="D61" s="50">
        <v>42163</v>
      </c>
      <c r="E61" s="42">
        <f>110765088.15/1000</f>
        <v>110765.08815000001</v>
      </c>
      <c r="F61" s="43">
        <v>0.68687500000000001</v>
      </c>
      <c r="G61" s="42"/>
      <c r="H61" s="44"/>
      <c r="I61" s="42"/>
      <c r="J61" s="45"/>
      <c r="L61" s="28">
        <f>YEAR(D61)</f>
        <v>2015</v>
      </c>
      <c r="M61" s="28">
        <v>2015</v>
      </c>
    </row>
    <row r="62" spans="1:15" ht="16" thickBot="1" x14ac:dyDescent="0.4">
      <c r="A62" s="21" t="str">
        <f t="shared" si="21"/>
        <v/>
      </c>
      <c r="B62" s="39"/>
      <c r="C62" s="44"/>
      <c r="D62" s="44"/>
      <c r="E62" s="42"/>
      <c r="F62" s="43"/>
      <c r="G62" s="42"/>
      <c r="H62" s="44"/>
      <c r="I62" s="42"/>
      <c r="J62" s="45"/>
      <c r="K62" s="37"/>
      <c r="L62" s="28"/>
      <c r="M62" s="28"/>
    </row>
    <row r="63" spans="1:15" ht="16" thickBot="1" x14ac:dyDescent="0.4">
      <c r="A63" s="21" t="str">
        <f t="shared" si="21"/>
        <v>2014</v>
      </c>
      <c r="B63" s="8">
        <v>2014</v>
      </c>
      <c r="C63" s="9"/>
      <c r="D63" s="9"/>
      <c r="E63" s="10">
        <f>SUM(E64:E66)</f>
        <v>227718.83040250081</v>
      </c>
      <c r="F63" s="11">
        <f>SUM(F64:F66)</f>
        <v>1.4121270000000001</v>
      </c>
      <c r="G63" s="10">
        <v>378215</v>
      </c>
      <c r="H63" s="12">
        <f>E63/(G63)</f>
        <v>0.60208831062358925</v>
      </c>
      <c r="I63" s="10">
        <v>248140</v>
      </c>
      <c r="J63" s="13">
        <f>E63/I63</f>
        <v>0.91770303216934312</v>
      </c>
      <c r="K63" s="47"/>
      <c r="L63" s="28"/>
      <c r="M63" s="28"/>
      <c r="O63" s="65"/>
    </row>
    <row r="64" spans="1:15" x14ac:dyDescent="0.35">
      <c r="A64" s="21" t="str">
        <f t="shared" si="21"/>
        <v>Dividendos</v>
      </c>
      <c r="B64" s="22" t="s">
        <v>21</v>
      </c>
      <c r="C64" s="23">
        <v>42131</v>
      </c>
      <c r="D64" s="23">
        <v>42185</v>
      </c>
      <c r="E64" s="24">
        <f>31029060.55/1000</f>
        <v>31029.060550000002</v>
      </c>
      <c r="F64" s="25">
        <v>0.192417</v>
      </c>
      <c r="G64" s="24"/>
      <c r="H64" s="26"/>
      <c r="I64" s="24"/>
      <c r="J64" s="27"/>
      <c r="K64" s="47"/>
      <c r="L64" s="28">
        <f>YEAR(D64)</f>
        <v>2015</v>
      </c>
      <c r="M64" s="28">
        <v>2014</v>
      </c>
      <c r="O64" s="65"/>
    </row>
    <row r="65" spans="1:15" x14ac:dyDescent="0.35">
      <c r="A65" s="21" t="str">
        <f t="shared" si="21"/>
        <v>Dividendos</v>
      </c>
      <c r="B65" s="22" t="s">
        <v>21</v>
      </c>
      <c r="C65" s="23">
        <v>41968</v>
      </c>
      <c r="D65" s="23">
        <v>41978</v>
      </c>
      <c r="E65" s="24">
        <v>165000.02931352486</v>
      </c>
      <c r="F65" s="25">
        <v>1.023196</v>
      </c>
      <c r="G65" s="24"/>
      <c r="H65" s="26"/>
      <c r="I65" s="24"/>
      <c r="J65" s="27"/>
      <c r="K65" s="47"/>
      <c r="L65" s="28">
        <f>YEAR(D65)</f>
        <v>2014</v>
      </c>
      <c r="M65" s="28">
        <v>2014</v>
      </c>
      <c r="O65" s="65"/>
    </row>
    <row r="66" spans="1:15" x14ac:dyDescent="0.35">
      <c r="A66" s="21" t="str">
        <f t="shared" si="21"/>
        <v>JCP</v>
      </c>
      <c r="B66" s="22" t="s">
        <v>20</v>
      </c>
      <c r="C66" s="23">
        <v>41864</v>
      </c>
      <c r="D66" s="23">
        <v>41880</v>
      </c>
      <c r="E66" s="24">
        <v>31689.740538975941</v>
      </c>
      <c r="F66" s="25">
        <v>0.19651399999999999</v>
      </c>
      <c r="G66" s="24"/>
      <c r="H66" s="26"/>
      <c r="I66" s="24"/>
      <c r="J66" s="27"/>
      <c r="L66" s="28">
        <f>YEAR(D66)</f>
        <v>2014</v>
      </c>
      <c r="M66" s="28">
        <v>2014</v>
      </c>
    </row>
    <row r="67" spans="1:15" ht="16" thickBot="1" x14ac:dyDescent="0.4">
      <c r="A67" s="21" t="str">
        <f t="shared" si="21"/>
        <v/>
      </c>
      <c r="B67" s="22"/>
      <c r="C67" s="23"/>
      <c r="D67" s="23"/>
      <c r="E67" s="24"/>
      <c r="F67" s="25"/>
      <c r="G67" s="24"/>
      <c r="H67" s="26"/>
      <c r="I67" s="24"/>
      <c r="J67" s="27"/>
      <c r="K67" s="37"/>
      <c r="L67" s="28"/>
      <c r="M67" s="28"/>
      <c r="O67" s="65"/>
    </row>
    <row r="68" spans="1:15" ht="16" thickBot="1" x14ac:dyDescent="0.4">
      <c r="A68" s="21" t="str">
        <f t="shared" si="21"/>
        <v>2013</v>
      </c>
      <c r="B68" s="8">
        <v>2013</v>
      </c>
      <c r="C68" s="9"/>
      <c r="D68" s="9"/>
      <c r="E68" s="10">
        <f>SUM(E69:E70)</f>
        <v>230000.21914999999</v>
      </c>
      <c r="F68" s="11">
        <f>SUM(F69:F70)</f>
        <v>1.506602</v>
      </c>
      <c r="G68" s="10">
        <v>31900</v>
      </c>
      <c r="H68" s="12" t="s">
        <v>24</v>
      </c>
      <c r="I68" s="10">
        <v>-145400</v>
      </c>
      <c r="J68" s="13" t="s">
        <v>24</v>
      </c>
      <c r="K68" s="47"/>
      <c r="L68" s="28"/>
      <c r="M68" s="28"/>
      <c r="O68" s="65"/>
    </row>
    <row r="69" spans="1:15" x14ac:dyDescent="0.35">
      <c r="A69" s="21" t="str">
        <f t="shared" si="21"/>
        <v>Dividendos</v>
      </c>
      <c r="B69" s="39" t="s">
        <v>21</v>
      </c>
      <c r="C69" s="50">
        <v>41731</v>
      </c>
      <c r="D69" s="50">
        <v>41851</v>
      </c>
      <c r="E69" s="42">
        <f>30000134.78/1000</f>
        <v>30000.13478</v>
      </c>
      <c r="F69" s="43">
        <v>0.19651399999999999</v>
      </c>
      <c r="G69" s="42"/>
      <c r="H69" s="44"/>
      <c r="I69" s="42"/>
      <c r="J69" s="45"/>
      <c r="K69" s="47"/>
      <c r="L69" s="28">
        <f>YEAR(D69)</f>
        <v>2014</v>
      </c>
      <c r="M69" s="28">
        <v>2013</v>
      </c>
      <c r="O69" s="65"/>
    </row>
    <row r="70" spans="1:15" x14ac:dyDescent="0.35">
      <c r="A70" s="21" t="str">
        <f t="shared" si="21"/>
        <v>JCP</v>
      </c>
      <c r="B70" s="39" t="s">
        <v>20</v>
      </c>
      <c r="C70" s="50">
        <v>41634</v>
      </c>
      <c r="D70" s="50">
        <v>41669</v>
      </c>
      <c r="E70" s="42">
        <f>200000084.37/1000</f>
        <v>200000.08437</v>
      </c>
      <c r="F70" s="43">
        <v>1.3100879999999999</v>
      </c>
      <c r="G70" s="42"/>
      <c r="H70" s="44"/>
      <c r="I70" s="42"/>
      <c r="J70" s="45"/>
      <c r="L70" s="28">
        <f>YEAR(D70)</f>
        <v>2014</v>
      </c>
      <c r="M70" s="28">
        <v>2013</v>
      </c>
    </row>
    <row r="71" spans="1:15" ht="16" thickBot="1" x14ac:dyDescent="0.4">
      <c r="A71" s="21" t="str">
        <f t="shared" si="21"/>
        <v/>
      </c>
      <c r="B71" s="39"/>
      <c r="C71" s="44"/>
      <c r="D71" s="44"/>
      <c r="E71" s="42"/>
      <c r="F71" s="43"/>
      <c r="G71" s="42"/>
      <c r="H71" s="44"/>
      <c r="I71" s="42"/>
      <c r="J71" s="45"/>
      <c r="K71" s="37"/>
      <c r="L71" s="28"/>
      <c r="M71" s="28"/>
      <c r="O71" s="65"/>
    </row>
    <row r="72" spans="1:15" ht="16" thickBot="1" x14ac:dyDescent="0.4">
      <c r="A72" s="21" t="str">
        <f t="shared" si="21"/>
        <v>2012</v>
      </c>
      <c r="B72" s="8">
        <v>2012</v>
      </c>
      <c r="C72" s="9"/>
      <c r="D72" s="9"/>
      <c r="E72" s="10">
        <f>SUM(E73:E76)</f>
        <v>242680.74669005111</v>
      </c>
      <c r="F72" s="11">
        <f>SUM(F73:F76)</f>
        <v>1.5896650000000001</v>
      </c>
      <c r="G72" s="10">
        <v>843488</v>
      </c>
      <c r="H72" s="12">
        <f>E72/(G72)</f>
        <v>0.28771096528943046</v>
      </c>
      <c r="I72" s="10">
        <v>1004000</v>
      </c>
      <c r="J72" s="13">
        <f>E72/I72</f>
        <v>0.24171389112554892</v>
      </c>
      <c r="K72" s="47"/>
      <c r="L72" s="28"/>
      <c r="M72" s="28"/>
      <c r="O72" s="65"/>
    </row>
    <row r="73" spans="1:15" x14ac:dyDescent="0.35">
      <c r="A73" s="21" t="str">
        <f t="shared" si="21"/>
        <v>Dividendos</v>
      </c>
      <c r="B73" s="22" t="s">
        <v>21</v>
      </c>
      <c r="C73" s="23">
        <v>41092</v>
      </c>
      <c r="D73" s="23">
        <v>41117</v>
      </c>
      <c r="E73" s="24">
        <v>97050.162749098687</v>
      </c>
      <c r="F73" s="25">
        <v>0.63572099999999998</v>
      </c>
      <c r="G73" s="24"/>
      <c r="H73" s="26"/>
      <c r="I73" s="24"/>
      <c r="J73" s="27"/>
      <c r="K73" s="47"/>
      <c r="L73" s="28">
        <f>YEAR(D73)</f>
        <v>2012</v>
      </c>
      <c r="M73" s="28">
        <v>2012</v>
      </c>
      <c r="O73" s="65"/>
    </row>
    <row r="74" spans="1:15" x14ac:dyDescent="0.35">
      <c r="A74" s="21" t="str">
        <f t="shared" si="21"/>
        <v>JCP</v>
      </c>
      <c r="B74" s="22" t="s">
        <v>20</v>
      </c>
      <c r="C74" s="23">
        <v>41092</v>
      </c>
      <c r="D74" s="23">
        <v>41117</v>
      </c>
      <c r="E74" s="24">
        <v>63949.929569099404</v>
      </c>
      <c r="F74" s="25">
        <v>0.41889999999999999</v>
      </c>
      <c r="G74" s="24"/>
      <c r="H74" s="26"/>
      <c r="I74" s="24"/>
      <c r="J74" s="27"/>
      <c r="K74" s="47"/>
      <c r="L74" s="28">
        <f>YEAR(D74)</f>
        <v>2012</v>
      </c>
      <c r="M74" s="28">
        <v>2012</v>
      </c>
      <c r="O74" s="65"/>
    </row>
    <row r="75" spans="1:15" x14ac:dyDescent="0.35">
      <c r="A75" s="21" t="str">
        <f t="shared" si="21"/>
        <v>Dividendos</v>
      </c>
      <c r="B75" s="22" t="s">
        <v>21</v>
      </c>
      <c r="C75" s="23">
        <v>41016</v>
      </c>
      <c r="D75" s="23">
        <v>41029</v>
      </c>
      <c r="E75" s="24">
        <v>31348.899706576736</v>
      </c>
      <c r="F75" s="25">
        <v>0.205349</v>
      </c>
      <c r="G75" s="24"/>
      <c r="H75" s="26"/>
      <c r="I75" s="24"/>
      <c r="J75" s="27"/>
      <c r="K75" s="47"/>
      <c r="L75" s="28">
        <f>YEAR(D75)</f>
        <v>2012</v>
      </c>
      <c r="M75" s="28">
        <v>2012</v>
      </c>
      <c r="O75" s="65"/>
    </row>
    <row r="76" spans="1:15" x14ac:dyDescent="0.35">
      <c r="A76" s="21" t="str">
        <f t="shared" si="21"/>
        <v>Dividendos</v>
      </c>
      <c r="B76" s="22" t="s">
        <v>21</v>
      </c>
      <c r="C76" s="23">
        <v>41016</v>
      </c>
      <c r="D76" s="23">
        <v>41029</v>
      </c>
      <c r="E76" s="24">
        <v>50331.754665276268</v>
      </c>
      <c r="F76" s="25">
        <v>0.32969500000000002</v>
      </c>
      <c r="G76" s="24"/>
      <c r="H76" s="26"/>
      <c r="I76" s="24"/>
      <c r="J76" s="27"/>
      <c r="L76" s="28">
        <f>YEAR(D76)</f>
        <v>2012</v>
      </c>
      <c r="M76" s="28">
        <v>2012</v>
      </c>
    </row>
    <row r="77" spans="1:15" ht="16" thickBot="1" x14ac:dyDescent="0.4">
      <c r="A77" s="21" t="str">
        <f t="shared" si="21"/>
        <v/>
      </c>
      <c r="B77" s="22"/>
      <c r="C77" s="23"/>
      <c r="D77" s="23"/>
      <c r="E77" s="24"/>
      <c r="F77" s="25"/>
      <c r="G77" s="24"/>
      <c r="H77" s="26"/>
      <c r="I77" s="24"/>
      <c r="J77" s="27"/>
      <c r="K77" s="37"/>
      <c r="L77" s="28"/>
      <c r="M77" s="28"/>
      <c r="O77" s="66"/>
    </row>
    <row r="78" spans="1:15" ht="16" thickBot="1" x14ac:dyDescent="0.4">
      <c r="A78" s="21" t="str">
        <f t="shared" si="21"/>
        <v>2011</v>
      </c>
      <c r="B78" s="8">
        <v>2011</v>
      </c>
      <c r="C78" s="9"/>
      <c r="D78" s="9"/>
      <c r="E78" s="10">
        <f>SUM(E79:E84)</f>
        <v>691985.84615318</v>
      </c>
      <c r="F78" s="11">
        <f>SUM(F79:F84)</f>
        <v>4.5492609999999996</v>
      </c>
      <c r="G78" s="10">
        <v>915260</v>
      </c>
      <c r="H78" s="12">
        <f>E78/(G78)</f>
        <v>0.7560538493468304</v>
      </c>
      <c r="I78" s="10">
        <v>805700</v>
      </c>
      <c r="J78" s="13">
        <f>E78/I78</f>
        <v>0.85886290946156141</v>
      </c>
      <c r="K78" s="47"/>
      <c r="L78" s="28"/>
      <c r="M78" s="28"/>
      <c r="O78" s="65"/>
    </row>
    <row r="79" spans="1:15" x14ac:dyDescent="0.35">
      <c r="A79" s="21" t="str">
        <f t="shared" si="21"/>
        <v>JCP</v>
      </c>
      <c r="B79" s="39" t="s">
        <v>20</v>
      </c>
      <c r="C79" s="50">
        <v>40925</v>
      </c>
      <c r="D79" s="50">
        <v>40938</v>
      </c>
      <c r="E79" s="42">
        <v>64158.159943728795</v>
      </c>
      <c r="F79" s="43">
        <v>0.42026400000000003</v>
      </c>
      <c r="G79" s="42"/>
      <c r="H79" s="44"/>
      <c r="I79" s="42"/>
      <c r="J79" s="45"/>
      <c r="K79" s="47"/>
      <c r="L79" s="28">
        <f t="shared" ref="L79:L84" si="22">YEAR(D79)</f>
        <v>2012</v>
      </c>
      <c r="M79" s="28">
        <v>2011</v>
      </c>
      <c r="O79" s="65"/>
    </row>
    <row r="80" spans="1:15" x14ac:dyDescent="0.35">
      <c r="A80" s="21" t="str">
        <f t="shared" si="21"/>
        <v>Dividendos</v>
      </c>
      <c r="B80" s="39" t="s">
        <v>21</v>
      </c>
      <c r="C80" s="50">
        <v>40925</v>
      </c>
      <c r="D80" s="50">
        <v>40938</v>
      </c>
      <c r="E80" s="42">
        <v>169841.94483856834</v>
      </c>
      <c r="F80" s="43">
        <v>1.1125389999999999</v>
      </c>
      <c r="G80" s="42"/>
      <c r="H80" s="44"/>
      <c r="I80" s="42"/>
      <c r="J80" s="45"/>
      <c r="K80" s="47"/>
      <c r="L80" s="28">
        <f t="shared" si="22"/>
        <v>2012</v>
      </c>
      <c r="M80" s="28">
        <v>2011</v>
      </c>
      <c r="O80" s="65"/>
    </row>
    <row r="81" spans="1:15" x14ac:dyDescent="0.35">
      <c r="A81" s="21" t="str">
        <f t="shared" si="21"/>
        <v>JCP</v>
      </c>
      <c r="B81" s="39" t="s">
        <v>20</v>
      </c>
      <c r="C81" s="50">
        <v>40827</v>
      </c>
      <c r="D81" s="50">
        <v>40847</v>
      </c>
      <c r="E81" s="42">
        <f>61228528.25/1000</f>
        <v>61228.528250000003</v>
      </c>
      <c r="F81" s="43">
        <v>0.40327299999999999</v>
      </c>
      <c r="G81" s="42"/>
      <c r="H81" s="44"/>
      <c r="I81" s="42"/>
      <c r="J81" s="45"/>
      <c r="K81" s="47"/>
      <c r="L81" s="28">
        <f t="shared" si="22"/>
        <v>2011</v>
      </c>
      <c r="M81" s="28">
        <v>2011</v>
      </c>
      <c r="O81" s="65"/>
    </row>
    <row r="82" spans="1:15" x14ac:dyDescent="0.35">
      <c r="A82" s="21" t="str">
        <f t="shared" si="21"/>
        <v>Dividendos</v>
      </c>
      <c r="B82" s="39" t="s">
        <v>21</v>
      </c>
      <c r="C82" s="50">
        <v>40827</v>
      </c>
      <c r="D82" s="50">
        <v>40847</v>
      </c>
      <c r="E82" s="42">
        <f>172771510.36/1000</f>
        <v>172771.51036000001</v>
      </c>
      <c r="F82" s="43">
        <v>1.1379349999999999</v>
      </c>
      <c r="G82" s="42"/>
      <c r="H82" s="44"/>
      <c r="I82" s="42"/>
      <c r="J82" s="45"/>
      <c r="K82" s="47"/>
      <c r="L82" s="28">
        <f t="shared" si="22"/>
        <v>2011</v>
      </c>
      <c r="M82" s="28">
        <v>2011</v>
      </c>
      <c r="O82" s="65"/>
    </row>
    <row r="83" spans="1:15" x14ac:dyDescent="0.35">
      <c r="A83" s="21" t="str">
        <f t="shared" si="21"/>
        <v>JCP</v>
      </c>
      <c r="B83" s="39" t="s">
        <v>20</v>
      </c>
      <c r="C83" s="50">
        <v>40731</v>
      </c>
      <c r="D83" s="50">
        <v>40752</v>
      </c>
      <c r="E83" s="42">
        <f>63460717.92/1000</f>
        <v>63460.717920000003</v>
      </c>
      <c r="F83" s="43">
        <v>0.41797499999999999</v>
      </c>
      <c r="G83" s="42"/>
      <c r="H83" s="44"/>
      <c r="I83" s="42"/>
      <c r="J83" s="45"/>
      <c r="K83" s="47"/>
      <c r="L83" s="28">
        <f t="shared" si="22"/>
        <v>2011</v>
      </c>
      <c r="M83" s="28">
        <v>2011</v>
      </c>
      <c r="O83" s="65"/>
    </row>
    <row r="84" spans="1:15" x14ac:dyDescent="0.35">
      <c r="A84" s="21" t="str">
        <f t="shared" si="21"/>
        <v>Dividendos</v>
      </c>
      <c r="B84" s="39" t="s">
        <v>21</v>
      </c>
      <c r="C84" s="50">
        <v>40731</v>
      </c>
      <c r="D84" s="50">
        <v>40752</v>
      </c>
      <c r="E84" s="42">
        <v>160524.98484088283</v>
      </c>
      <c r="F84" s="43">
        <v>1.057275</v>
      </c>
      <c r="G84" s="42"/>
      <c r="H84" s="44"/>
      <c r="I84" s="42"/>
      <c r="J84" s="45"/>
      <c r="L84" s="28">
        <f t="shared" si="22"/>
        <v>2011</v>
      </c>
      <c r="M84" s="28">
        <v>2011</v>
      </c>
    </row>
    <row r="85" spans="1:15" ht="16" thickBot="1" x14ac:dyDescent="0.4">
      <c r="A85" s="21" t="str">
        <f t="shared" si="21"/>
        <v/>
      </c>
      <c r="B85" s="67"/>
      <c r="C85" s="68"/>
      <c r="D85" s="68"/>
      <c r="E85" s="69"/>
      <c r="F85" s="70"/>
      <c r="G85" s="69"/>
      <c r="H85" s="71"/>
      <c r="I85" s="69"/>
      <c r="J85" s="72"/>
      <c r="K85" s="37"/>
      <c r="L85" s="28"/>
      <c r="M85" s="28"/>
    </row>
    <row r="86" spans="1:15" ht="16" thickBot="1" x14ac:dyDescent="0.4">
      <c r="A86" s="21" t="str">
        <f t="shared" si="21"/>
        <v>2010</v>
      </c>
      <c r="B86" s="8">
        <v>2010</v>
      </c>
      <c r="C86" s="9"/>
      <c r="D86" s="9"/>
      <c r="E86" s="10">
        <f>SUM(E87:E95)</f>
        <v>775411.70514320454</v>
      </c>
      <c r="F86" s="11">
        <f>SUM(F87:F95)</f>
        <v>5.1071389999999992</v>
      </c>
      <c r="G86" s="10">
        <v>812171</v>
      </c>
      <c r="H86" s="12">
        <f>E86/(G86)</f>
        <v>0.95473946390994568</v>
      </c>
      <c r="I86" s="10">
        <f>G86</f>
        <v>812171</v>
      </c>
      <c r="J86" s="13">
        <f>E86/I86</f>
        <v>0.95473946390994568</v>
      </c>
      <c r="K86" s="47"/>
      <c r="L86" s="28"/>
      <c r="M86" s="28"/>
      <c r="O86" s="65"/>
    </row>
    <row r="87" spans="1:15" x14ac:dyDescent="0.35">
      <c r="A87" s="21" t="str">
        <f t="shared" si="21"/>
        <v>Dividendos</v>
      </c>
      <c r="B87" s="22" t="s">
        <v>21</v>
      </c>
      <c r="C87" s="23">
        <v>40665</v>
      </c>
      <c r="D87" s="23">
        <v>40752</v>
      </c>
      <c r="E87" s="24">
        <v>16714.396922445219</v>
      </c>
      <c r="F87" s="25">
        <v>0.110087</v>
      </c>
      <c r="G87" s="24"/>
      <c r="H87" s="26"/>
      <c r="I87" s="24"/>
      <c r="J87" s="27"/>
      <c r="K87" s="47"/>
      <c r="L87" s="28">
        <f t="shared" ref="L87:L95" si="23">YEAR(D87)</f>
        <v>2011</v>
      </c>
      <c r="M87" s="28">
        <v>2010</v>
      </c>
      <c r="O87" s="65"/>
    </row>
    <row r="88" spans="1:15" x14ac:dyDescent="0.35">
      <c r="A88" s="21" t="str">
        <f t="shared" si="21"/>
        <v>JCP</v>
      </c>
      <c r="B88" s="22" t="s">
        <v>20</v>
      </c>
      <c r="C88" s="23">
        <v>40640</v>
      </c>
      <c r="D88" s="23">
        <v>40662</v>
      </c>
      <c r="E88" s="24">
        <v>65692.755755138278</v>
      </c>
      <c r="F88" s="25">
        <v>0.43267600000000001</v>
      </c>
      <c r="G88" s="24"/>
      <c r="H88" s="26"/>
      <c r="I88" s="24"/>
      <c r="J88" s="27"/>
      <c r="K88" s="47"/>
      <c r="L88" s="28">
        <f t="shared" si="23"/>
        <v>2011</v>
      </c>
      <c r="M88" s="28">
        <v>2010</v>
      </c>
      <c r="O88" s="65"/>
    </row>
    <row r="89" spans="1:15" x14ac:dyDescent="0.35">
      <c r="A89" s="21" t="str">
        <f t="shared" ref="A89:A150" si="24">LEFT(B89,10)</f>
        <v>Dividendos</v>
      </c>
      <c r="B89" s="22" t="s">
        <v>21</v>
      </c>
      <c r="C89" s="23">
        <v>40640</v>
      </c>
      <c r="D89" s="23">
        <v>40662</v>
      </c>
      <c r="E89" s="24">
        <v>181307.18379577648</v>
      </c>
      <c r="F89" s="25">
        <v>1.1941539999999999</v>
      </c>
      <c r="G89" s="24"/>
      <c r="H89" s="26"/>
      <c r="I89" s="24"/>
      <c r="J89" s="27"/>
      <c r="K89" s="47"/>
      <c r="L89" s="28">
        <f t="shared" si="23"/>
        <v>2011</v>
      </c>
      <c r="M89" s="28">
        <v>2010</v>
      </c>
      <c r="O89" s="65"/>
    </row>
    <row r="90" spans="1:15" x14ac:dyDescent="0.35">
      <c r="A90" s="21" t="str">
        <f t="shared" si="24"/>
        <v>JCP</v>
      </c>
      <c r="B90" s="22" t="s">
        <v>20</v>
      </c>
      <c r="C90" s="23">
        <v>40560</v>
      </c>
      <c r="D90" s="23">
        <v>40571</v>
      </c>
      <c r="E90" s="24">
        <v>63027.094353089255</v>
      </c>
      <c r="F90" s="25">
        <v>0.41511900000000002</v>
      </c>
      <c r="G90" s="24"/>
      <c r="H90" s="26"/>
      <c r="I90" s="24"/>
      <c r="J90" s="27"/>
      <c r="K90" s="47"/>
      <c r="L90" s="28">
        <f t="shared" si="23"/>
        <v>2011</v>
      </c>
      <c r="M90" s="28">
        <v>2010</v>
      </c>
      <c r="O90" s="65"/>
    </row>
    <row r="91" spans="1:15" x14ac:dyDescent="0.35">
      <c r="A91" s="21" t="str">
        <f t="shared" si="24"/>
        <v>Dividendos</v>
      </c>
      <c r="B91" s="22" t="s">
        <v>21</v>
      </c>
      <c r="C91" s="23">
        <v>40560</v>
      </c>
      <c r="D91" s="23">
        <v>40571</v>
      </c>
      <c r="E91" s="24">
        <v>112072.8652529071</v>
      </c>
      <c r="F91" s="25">
        <v>0.73815200000000003</v>
      </c>
      <c r="G91" s="24"/>
      <c r="H91" s="26"/>
      <c r="I91" s="24"/>
      <c r="J91" s="27"/>
      <c r="K91" s="47"/>
      <c r="L91" s="28">
        <f t="shared" si="23"/>
        <v>2011</v>
      </c>
      <c r="M91" s="28">
        <v>2010</v>
      </c>
      <c r="O91" s="65"/>
    </row>
    <row r="92" spans="1:15" x14ac:dyDescent="0.35">
      <c r="A92" s="21" t="str">
        <f t="shared" si="24"/>
        <v>Dividendos</v>
      </c>
      <c r="B92" s="22" t="s">
        <v>21</v>
      </c>
      <c r="C92" s="23">
        <v>40459</v>
      </c>
      <c r="D92" s="23">
        <v>40476</v>
      </c>
      <c r="E92" s="24">
        <v>146280.08627831275</v>
      </c>
      <c r="F92" s="25">
        <v>0.963453</v>
      </c>
      <c r="G92" s="24"/>
      <c r="H92" s="26"/>
      <c r="I92" s="24"/>
      <c r="J92" s="27"/>
      <c r="K92" s="47"/>
      <c r="L92" s="28">
        <f t="shared" si="23"/>
        <v>2010</v>
      </c>
      <c r="M92" s="28">
        <v>2010</v>
      </c>
      <c r="O92" s="65"/>
    </row>
    <row r="93" spans="1:15" x14ac:dyDescent="0.35">
      <c r="A93" s="21" t="str">
        <f t="shared" si="24"/>
        <v>JCP</v>
      </c>
      <c r="B93" s="22" t="s">
        <v>20</v>
      </c>
      <c r="C93" s="23">
        <v>40459</v>
      </c>
      <c r="D93" s="23">
        <v>40476</v>
      </c>
      <c r="E93" s="24">
        <v>63719.889988878385</v>
      </c>
      <c r="F93" s="25">
        <v>0.419682</v>
      </c>
      <c r="G93" s="24"/>
      <c r="H93" s="26"/>
      <c r="I93" s="24"/>
      <c r="J93" s="27"/>
      <c r="K93" s="47"/>
      <c r="L93" s="28">
        <f t="shared" si="23"/>
        <v>2010</v>
      </c>
      <c r="M93" s="28">
        <v>2010</v>
      </c>
      <c r="O93" s="65"/>
    </row>
    <row r="94" spans="1:15" x14ac:dyDescent="0.35">
      <c r="A94" s="21" t="str">
        <f t="shared" si="24"/>
        <v>JCP</v>
      </c>
      <c r="B94" s="22" t="s">
        <v>20</v>
      </c>
      <c r="C94" s="23">
        <v>40367</v>
      </c>
      <c r="D94" s="23">
        <v>40382</v>
      </c>
      <c r="E94" s="24">
        <v>62925.824423422077</v>
      </c>
      <c r="F94" s="25">
        <v>0.41445199999999999</v>
      </c>
      <c r="G94" s="24"/>
      <c r="H94" s="26"/>
      <c r="I94" s="24"/>
      <c r="J94" s="27"/>
      <c r="K94" s="47"/>
      <c r="L94" s="28">
        <f t="shared" si="23"/>
        <v>2010</v>
      </c>
      <c r="M94" s="28">
        <v>2010</v>
      </c>
      <c r="O94" s="65"/>
    </row>
    <row r="95" spans="1:15" x14ac:dyDescent="0.35">
      <c r="A95" s="21" t="str">
        <f t="shared" si="24"/>
        <v>Dividendos</v>
      </c>
      <c r="B95" s="22" t="s">
        <v>21</v>
      </c>
      <c r="C95" s="23">
        <v>40367</v>
      </c>
      <c r="D95" s="23">
        <v>40382</v>
      </c>
      <c r="E95" s="24">
        <v>63671.608373234965</v>
      </c>
      <c r="F95" s="25">
        <v>0.41936400000000001</v>
      </c>
      <c r="G95" s="24"/>
      <c r="H95" s="26"/>
      <c r="I95" s="24"/>
      <c r="J95" s="27"/>
      <c r="L95" s="28">
        <f t="shared" si="23"/>
        <v>2010</v>
      </c>
      <c r="M95" s="28">
        <v>2010</v>
      </c>
    </row>
    <row r="96" spans="1:15" ht="16" thickBot="1" x14ac:dyDescent="0.4">
      <c r="A96" s="21" t="str">
        <f t="shared" si="24"/>
        <v/>
      </c>
      <c r="B96" s="22"/>
      <c r="C96" s="23"/>
      <c r="D96" s="23"/>
      <c r="E96" s="24"/>
      <c r="F96" s="25"/>
      <c r="G96" s="24"/>
      <c r="H96" s="26"/>
      <c r="I96" s="24"/>
      <c r="J96" s="27"/>
      <c r="K96" s="37"/>
      <c r="L96" s="28"/>
      <c r="M96" s="28"/>
    </row>
    <row r="97" spans="1:15" ht="16" thickBot="1" x14ac:dyDescent="0.4">
      <c r="A97" s="21" t="str">
        <f t="shared" si="24"/>
        <v>2009</v>
      </c>
      <c r="B97" s="8">
        <v>2009</v>
      </c>
      <c r="C97" s="9"/>
      <c r="D97" s="9"/>
      <c r="E97" s="10">
        <f>SUM(E98:E107)</f>
        <v>845099.64981935092</v>
      </c>
      <c r="F97" s="11">
        <f>SUM(F98:F107)</f>
        <v>5.6169479999999989</v>
      </c>
      <c r="G97" s="10">
        <v>861975</v>
      </c>
      <c r="H97" s="12">
        <f>E97/(G97)</f>
        <v>0.98042245983856946</v>
      </c>
      <c r="I97" s="10">
        <f>G97</f>
        <v>861975</v>
      </c>
      <c r="J97" s="13">
        <f>E97/I97</f>
        <v>0.98042245983856946</v>
      </c>
      <c r="K97" s="47"/>
      <c r="L97" s="28"/>
      <c r="M97" s="28"/>
      <c r="O97" s="65"/>
    </row>
    <row r="98" spans="1:15" x14ac:dyDescent="0.35">
      <c r="A98" s="21" t="str">
        <f t="shared" si="24"/>
        <v>Dividendos</v>
      </c>
      <c r="B98" s="39" t="s">
        <v>21</v>
      </c>
      <c r="C98" s="50">
        <v>40303</v>
      </c>
      <c r="D98" s="50">
        <v>40382</v>
      </c>
      <c r="E98" s="42">
        <v>77302.662369621539</v>
      </c>
      <c r="F98" s="43">
        <v>0.50914300000000001</v>
      </c>
      <c r="G98" s="42"/>
      <c r="H98" s="44"/>
      <c r="I98" s="42"/>
      <c r="J98" s="45"/>
      <c r="K98" s="47"/>
      <c r="L98" s="28">
        <f t="shared" ref="L98:L107" si="25">YEAR(D98)</f>
        <v>2010</v>
      </c>
      <c r="M98" s="28">
        <v>2009</v>
      </c>
      <c r="O98" s="65"/>
    </row>
    <row r="99" spans="1:15" x14ac:dyDescent="0.35">
      <c r="A99" s="21" t="str">
        <f t="shared" si="24"/>
        <v>Dividendos</v>
      </c>
      <c r="B99" s="39" t="s">
        <v>21</v>
      </c>
      <c r="C99" s="50">
        <v>40277</v>
      </c>
      <c r="D99" s="50">
        <v>40288</v>
      </c>
      <c r="E99" s="42">
        <v>129979.8546478683</v>
      </c>
      <c r="F99" s="43">
        <v>0.86275599999999997</v>
      </c>
      <c r="G99" s="42"/>
      <c r="H99" s="44"/>
      <c r="I99" s="42"/>
      <c r="J99" s="45"/>
      <c r="K99" s="47"/>
      <c r="L99" s="28">
        <f t="shared" si="25"/>
        <v>2010</v>
      </c>
      <c r="M99" s="28">
        <v>2009</v>
      </c>
      <c r="O99" s="65"/>
    </row>
    <row r="100" spans="1:15" x14ac:dyDescent="0.35">
      <c r="A100" s="21" t="str">
        <f t="shared" si="24"/>
        <v>JCP</v>
      </c>
      <c r="B100" s="39" t="s">
        <v>20</v>
      </c>
      <c r="C100" s="50">
        <v>40277</v>
      </c>
      <c r="D100" s="50">
        <v>40288</v>
      </c>
      <c r="E100" s="42">
        <v>61920.149173095488</v>
      </c>
      <c r="F100" s="43">
        <v>0.41100199999999998</v>
      </c>
      <c r="G100" s="42"/>
      <c r="H100" s="44"/>
      <c r="I100" s="42"/>
      <c r="J100" s="45"/>
      <c r="K100" s="47"/>
      <c r="L100" s="28">
        <f t="shared" si="25"/>
        <v>2010</v>
      </c>
      <c r="M100" s="28">
        <v>2009</v>
      </c>
      <c r="O100" s="65"/>
    </row>
    <row r="101" spans="1:15" x14ac:dyDescent="0.35">
      <c r="A101" s="21" t="str">
        <f t="shared" si="24"/>
        <v>Dividendos</v>
      </c>
      <c r="B101" s="39" t="s">
        <v>21</v>
      </c>
      <c r="C101" s="50">
        <v>40190</v>
      </c>
      <c r="D101" s="50">
        <v>40200</v>
      </c>
      <c r="E101" s="42">
        <v>161000.04120350641</v>
      </c>
      <c r="F101" s="43">
        <v>1.0686560000000001</v>
      </c>
      <c r="G101" s="42"/>
      <c r="H101" s="44"/>
      <c r="I101" s="42"/>
      <c r="J101" s="45"/>
      <c r="K101" s="47"/>
      <c r="L101" s="28">
        <f t="shared" si="25"/>
        <v>2010</v>
      </c>
      <c r="M101" s="28">
        <v>2009</v>
      </c>
      <c r="O101" s="65"/>
    </row>
    <row r="102" spans="1:15" x14ac:dyDescent="0.35">
      <c r="A102" s="21" t="str">
        <f t="shared" si="24"/>
        <v>JCP</v>
      </c>
      <c r="B102" s="39" t="s">
        <v>20</v>
      </c>
      <c r="C102" s="50">
        <v>40163</v>
      </c>
      <c r="D102" s="50">
        <v>40177</v>
      </c>
      <c r="E102" s="42">
        <v>61380.798673487989</v>
      </c>
      <c r="F102" s="43">
        <v>0.40742200000000001</v>
      </c>
      <c r="G102" s="42"/>
      <c r="H102" s="44"/>
      <c r="I102" s="42"/>
      <c r="J102" s="45"/>
      <c r="K102" s="47"/>
      <c r="L102" s="28">
        <f t="shared" si="25"/>
        <v>2009</v>
      </c>
      <c r="M102" s="28">
        <v>2009</v>
      </c>
      <c r="O102" s="65"/>
    </row>
    <row r="103" spans="1:15" x14ac:dyDescent="0.35">
      <c r="A103" s="21" t="str">
        <f t="shared" si="24"/>
        <v>Dividendos</v>
      </c>
      <c r="B103" s="39" t="s">
        <v>21</v>
      </c>
      <c r="C103" s="50">
        <v>40093</v>
      </c>
      <c r="D103" s="50">
        <v>40107</v>
      </c>
      <c r="E103" s="42">
        <v>103444.56334999998</v>
      </c>
      <c r="F103" s="43">
        <v>0.68662500000000004</v>
      </c>
      <c r="G103" s="42"/>
      <c r="H103" s="44"/>
      <c r="I103" s="42"/>
      <c r="J103" s="45"/>
      <c r="K103" s="47"/>
      <c r="L103" s="28">
        <f t="shared" si="25"/>
        <v>2009</v>
      </c>
      <c r="M103" s="28">
        <v>2009</v>
      </c>
      <c r="O103" s="65"/>
    </row>
    <row r="104" spans="1:15" x14ac:dyDescent="0.35">
      <c r="A104" s="21" t="str">
        <f t="shared" si="24"/>
        <v>JCP</v>
      </c>
      <c r="B104" s="39" t="s">
        <v>20</v>
      </c>
      <c r="C104" s="50">
        <v>40093</v>
      </c>
      <c r="D104" s="50">
        <v>40107</v>
      </c>
      <c r="E104" s="42">
        <v>62055.438767689775</v>
      </c>
      <c r="F104" s="43">
        <v>0.41189999999999999</v>
      </c>
      <c r="G104" s="42"/>
      <c r="H104" s="44"/>
      <c r="I104" s="42"/>
      <c r="J104" s="45"/>
      <c r="K104" s="47"/>
      <c r="L104" s="28">
        <f t="shared" si="25"/>
        <v>2009</v>
      </c>
      <c r="M104" s="28">
        <v>2009</v>
      </c>
      <c r="O104" s="65"/>
    </row>
    <row r="105" spans="1:15" x14ac:dyDescent="0.35">
      <c r="A105" s="21" t="str">
        <f t="shared" si="24"/>
        <v>Dividendos</v>
      </c>
      <c r="B105" s="39" t="s">
        <v>21</v>
      </c>
      <c r="C105" s="50">
        <v>40001</v>
      </c>
      <c r="D105" s="50">
        <v>40015</v>
      </c>
      <c r="E105" s="42">
        <v>60842.161013877012</v>
      </c>
      <c r="F105" s="43">
        <v>0.407557</v>
      </c>
      <c r="G105" s="42"/>
      <c r="H105" s="44"/>
      <c r="I105" s="42"/>
      <c r="J105" s="45"/>
      <c r="K105" s="47"/>
      <c r="L105" s="28">
        <f t="shared" si="25"/>
        <v>2009</v>
      </c>
      <c r="M105" s="28">
        <v>2009</v>
      </c>
      <c r="O105" s="65"/>
    </row>
    <row r="106" spans="1:15" x14ac:dyDescent="0.35">
      <c r="A106" s="21" t="str">
        <f t="shared" si="24"/>
        <v>JCP</v>
      </c>
      <c r="B106" s="39" t="s">
        <v>20</v>
      </c>
      <c r="C106" s="50">
        <v>39987</v>
      </c>
      <c r="D106" s="50">
        <v>39995</v>
      </c>
      <c r="E106" s="42">
        <v>63938.332640000008</v>
      </c>
      <c r="F106" s="43">
        <v>0.42829699999999998</v>
      </c>
      <c r="G106" s="42"/>
      <c r="H106" s="44"/>
      <c r="I106" s="42"/>
      <c r="J106" s="45"/>
      <c r="K106" s="47"/>
      <c r="L106" s="28">
        <f t="shared" si="25"/>
        <v>2009</v>
      </c>
      <c r="M106" s="28">
        <v>2009</v>
      </c>
      <c r="O106" s="65"/>
    </row>
    <row r="107" spans="1:15" x14ac:dyDescent="0.35">
      <c r="A107" s="21" t="str">
        <f t="shared" si="24"/>
        <v>JCP</v>
      </c>
      <c r="B107" s="39" t="s">
        <v>20</v>
      </c>
      <c r="C107" s="50">
        <v>39917</v>
      </c>
      <c r="D107" s="50">
        <v>39927</v>
      </c>
      <c r="E107" s="42">
        <v>63235.647980204405</v>
      </c>
      <c r="F107" s="43">
        <v>0.42359000000000002</v>
      </c>
      <c r="G107" s="42"/>
      <c r="H107" s="44"/>
      <c r="I107" s="42"/>
      <c r="J107" s="45"/>
      <c r="L107" s="28">
        <f t="shared" si="25"/>
        <v>2009</v>
      </c>
      <c r="M107" s="28">
        <v>2009</v>
      </c>
    </row>
    <row r="108" spans="1:15" ht="16" thickBot="1" x14ac:dyDescent="0.4">
      <c r="A108" s="21" t="str">
        <f t="shared" si="24"/>
        <v/>
      </c>
      <c r="B108" s="39"/>
      <c r="C108" s="50"/>
      <c r="D108" s="50"/>
      <c r="E108" s="42"/>
      <c r="F108" s="43"/>
      <c r="G108" s="42"/>
      <c r="H108" s="44"/>
      <c r="I108" s="42"/>
      <c r="J108" s="45"/>
      <c r="K108" s="37"/>
      <c r="L108" s="28"/>
      <c r="M108" s="28"/>
    </row>
    <row r="109" spans="1:15" ht="16" thickBot="1" x14ac:dyDescent="0.4">
      <c r="A109" s="21" t="str">
        <f t="shared" si="24"/>
        <v>2008</v>
      </c>
      <c r="B109" s="8">
        <v>2008</v>
      </c>
      <c r="C109" s="9"/>
      <c r="D109" s="9"/>
      <c r="E109" s="10">
        <f>SUM(E110:E118)</f>
        <v>734900.96749106969</v>
      </c>
      <c r="F109" s="11">
        <f>SUM(F110:F118)</f>
        <v>4.9228040000000002</v>
      </c>
      <c r="G109" s="10">
        <v>827065</v>
      </c>
      <c r="H109" s="12">
        <f>E109/(G109)</f>
        <v>0.88856494651698437</v>
      </c>
      <c r="I109" s="10">
        <f>G109</f>
        <v>827065</v>
      </c>
      <c r="J109" s="13">
        <f>E109/I109</f>
        <v>0.88856494651698437</v>
      </c>
      <c r="K109" s="47"/>
      <c r="L109" s="28"/>
      <c r="M109" s="28"/>
      <c r="O109" s="63"/>
    </row>
    <row r="110" spans="1:15" x14ac:dyDescent="0.35">
      <c r="A110" s="21" t="str">
        <f t="shared" si="24"/>
        <v>Dividendos</v>
      </c>
      <c r="B110" s="22" t="s">
        <v>21</v>
      </c>
      <c r="C110" s="23">
        <v>39919</v>
      </c>
      <c r="D110" s="23">
        <v>39927</v>
      </c>
      <c r="E110" s="24">
        <v>105890.71174879157</v>
      </c>
      <c r="F110" s="25">
        <v>0.70931900000000003</v>
      </c>
      <c r="G110" s="24"/>
      <c r="H110" s="26"/>
      <c r="I110" s="24"/>
      <c r="J110" s="27"/>
      <c r="K110" s="47"/>
      <c r="L110" s="28">
        <f t="shared" ref="L110:L118" si="26">YEAR(D110)</f>
        <v>2009</v>
      </c>
      <c r="M110" s="28">
        <v>2008</v>
      </c>
      <c r="O110" s="63"/>
    </row>
    <row r="111" spans="1:15" x14ac:dyDescent="0.35">
      <c r="A111" s="21" t="str">
        <f t="shared" si="24"/>
        <v>Dividendos</v>
      </c>
      <c r="B111" s="22" t="s">
        <v>21</v>
      </c>
      <c r="C111" s="23">
        <v>39826</v>
      </c>
      <c r="D111" s="23">
        <v>39833</v>
      </c>
      <c r="E111" s="24">
        <v>122500.0154590528</v>
      </c>
      <c r="F111" s="25">
        <v>0.82057800000000003</v>
      </c>
      <c r="G111" s="24"/>
      <c r="H111" s="26"/>
      <c r="I111" s="24"/>
      <c r="J111" s="27"/>
      <c r="K111" s="47"/>
      <c r="L111" s="28">
        <f t="shared" si="26"/>
        <v>2009</v>
      </c>
      <c r="M111" s="28">
        <v>2008</v>
      </c>
      <c r="O111" s="63"/>
    </row>
    <row r="112" spans="1:15" x14ac:dyDescent="0.35">
      <c r="A112" s="21" t="str">
        <f t="shared" si="24"/>
        <v>JCP</v>
      </c>
      <c r="B112" s="22" t="s">
        <v>20</v>
      </c>
      <c r="C112" s="23">
        <v>39797</v>
      </c>
      <c r="D112" s="23">
        <v>39812</v>
      </c>
      <c r="E112" s="24">
        <v>59667.735643447435</v>
      </c>
      <c r="F112" s="25">
        <v>0.39968999999999999</v>
      </c>
      <c r="G112" s="24"/>
      <c r="H112" s="26"/>
      <c r="I112" s="24"/>
      <c r="J112" s="27"/>
      <c r="K112" s="47"/>
      <c r="L112" s="28">
        <f t="shared" si="26"/>
        <v>2008</v>
      </c>
      <c r="M112" s="28">
        <v>2008</v>
      </c>
      <c r="O112" s="63"/>
    </row>
    <row r="113" spans="1:15" x14ac:dyDescent="0.35">
      <c r="A113" s="21" t="str">
        <f t="shared" si="24"/>
        <v>Dividendos</v>
      </c>
      <c r="B113" s="22" t="s">
        <v>21</v>
      </c>
      <c r="C113" s="23">
        <v>39731</v>
      </c>
      <c r="D113" s="23">
        <v>39738</v>
      </c>
      <c r="E113" s="24">
        <v>54611.899362738302</v>
      </c>
      <c r="F113" s="25">
        <v>0.36582300000000001</v>
      </c>
      <c r="G113" s="24"/>
      <c r="H113" s="26"/>
      <c r="I113" s="24"/>
      <c r="J113" s="27"/>
      <c r="K113" s="47"/>
      <c r="L113" s="28">
        <f t="shared" si="26"/>
        <v>2008</v>
      </c>
      <c r="M113" s="28">
        <v>2008</v>
      </c>
      <c r="O113" s="63"/>
    </row>
    <row r="114" spans="1:15" x14ac:dyDescent="0.35">
      <c r="A114" s="21" t="str">
        <f t="shared" si="24"/>
        <v>JCP</v>
      </c>
      <c r="B114" s="22" t="s">
        <v>20</v>
      </c>
      <c r="C114" s="23">
        <v>39731</v>
      </c>
      <c r="D114" s="23">
        <v>39738</v>
      </c>
      <c r="E114" s="24">
        <v>60388.185222409331</v>
      </c>
      <c r="F114" s="25">
        <v>0.40451599999999999</v>
      </c>
      <c r="G114" s="24"/>
      <c r="H114" s="26"/>
      <c r="I114" s="24"/>
      <c r="J114" s="27"/>
      <c r="K114" s="47"/>
      <c r="L114" s="28">
        <f t="shared" si="26"/>
        <v>2008</v>
      </c>
      <c r="M114" s="28">
        <v>2008</v>
      </c>
      <c r="O114" s="63"/>
    </row>
    <row r="115" spans="1:15" x14ac:dyDescent="0.35">
      <c r="A115" s="21" t="str">
        <f t="shared" si="24"/>
        <v>Dividendos</v>
      </c>
      <c r="B115" s="22" t="s">
        <v>21</v>
      </c>
      <c r="C115" s="23">
        <v>39639</v>
      </c>
      <c r="D115" s="23">
        <v>39646</v>
      </c>
      <c r="E115" s="24">
        <v>145000.10665083831</v>
      </c>
      <c r="F115" s="25">
        <v>0.97129699999999997</v>
      </c>
      <c r="G115" s="24"/>
      <c r="H115" s="26"/>
      <c r="I115" s="24"/>
      <c r="J115" s="27"/>
      <c r="K115" s="47"/>
      <c r="L115" s="28">
        <f t="shared" si="26"/>
        <v>2008</v>
      </c>
      <c r="M115" s="28">
        <v>2008</v>
      </c>
      <c r="O115" s="63"/>
    </row>
    <row r="116" spans="1:15" x14ac:dyDescent="0.35">
      <c r="A116" s="21" t="str">
        <f t="shared" si="24"/>
        <v>JCP</v>
      </c>
      <c r="B116" s="22" t="s">
        <v>20</v>
      </c>
      <c r="C116" s="23">
        <v>39639</v>
      </c>
      <c r="D116" s="23">
        <v>39646</v>
      </c>
      <c r="E116" s="24">
        <v>58311.331815339749</v>
      </c>
      <c r="F116" s="25">
        <v>0.39060400000000001</v>
      </c>
      <c r="G116" s="24"/>
      <c r="H116" s="26"/>
      <c r="I116" s="24"/>
      <c r="J116" s="27"/>
      <c r="K116" s="47"/>
      <c r="L116" s="28">
        <f t="shared" si="26"/>
        <v>2008</v>
      </c>
      <c r="M116" s="28">
        <v>2008</v>
      </c>
      <c r="O116" s="63"/>
    </row>
    <row r="117" spans="1:15" x14ac:dyDescent="0.35">
      <c r="A117" s="21" t="str">
        <f t="shared" si="24"/>
        <v>Dividendos</v>
      </c>
      <c r="B117" s="22" t="s">
        <v>21</v>
      </c>
      <c r="C117" s="23">
        <v>39549</v>
      </c>
      <c r="D117" s="23">
        <v>39556</v>
      </c>
      <c r="E117" s="24">
        <v>67000.019423035526</v>
      </c>
      <c r="F117" s="25">
        <v>0.44880599999999998</v>
      </c>
      <c r="G117" s="24"/>
      <c r="H117" s="26"/>
      <c r="I117" s="24"/>
      <c r="J117" s="27"/>
      <c r="K117" s="47"/>
      <c r="L117" s="28">
        <f t="shared" si="26"/>
        <v>2008</v>
      </c>
      <c r="M117" s="28">
        <v>2008</v>
      </c>
      <c r="O117" s="63"/>
    </row>
    <row r="118" spans="1:15" x14ac:dyDescent="0.35">
      <c r="A118" s="21" t="str">
        <f t="shared" si="24"/>
        <v>JCP</v>
      </c>
      <c r="B118" s="22" t="s">
        <v>20</v>
      </c>
      <c r="C118" s="23">
        <v>39539</v>
      </c>
      <c r="D118" s="23">
        <v>39556</v>
      </c>
      <c r="E118" s="24">
        <v>61530.962165416633</v>
      </c>
      <c r="F118" s="25">
        <v>0.41217100000000001</v>
      </c>
      <c r="G118" s="24"/>
      <c r="H118" s="26"/>
      <c r="I118" s="24"/>
      <c r="J118" s="27"/>
      <c r="L118" s="28">
        <f t="shared" si="26"/>
        <v>2008</v>
      </c>
      <c r="M118" s="28">
        <v>2008</v>
      </c>
    </row>
    <row r="119" spans="1:15" ht="16" thickBot="1" x14ac:dyDescent="0.4">
      <c r="A119" s="21" t="str">
        <f t="shared" si="24"/>
        <v/>
      </c>
      <c r="B119" s="22"/>
      <c r="C119" s="23"/>
      <c r="D119" s="23"/>
      <c r="E119" s="24"/>
      <c r="F119" s="25"/>
      <c r="G119" s="24"/>
      <c r="H119" s="26"/>
      <c r="I119" s="24"/>
      <c r="J119" s="27"/>
      <c r="K119" s="37"/>
      <c r="L119" s="28"/>
      <c r="M119" s="28"/>
    </row>
    <row r="120" spans="1:15" ht="16" thickBot="1" x14ac:dyDescent="0.4">
      <c r="A120" s="21" t="str">
        <f t="shared" si="24"/>
        <v>2007</v>
      </c>
      <c r="B120" s="8">
        <v>2007</v>
      </c>
      <c r="C120" s="9"/>
      <c r="D120" s="9"/>
      <c r="E120" s="10">
        <f>SUM(E121:E127)</f>
        <v>907495.96500854043</v>
      </c>
      <c r="F120" s="11">
        <f>SUM(F121:F127)</f>
        <v>6.0789480000000005</v>
      </c>
      <c r="G120" s="10">
        <v>855483</v>
      </c>
      <c r="H120" s="12">
        <f>E120/(G120)</f>
        <v>1.0607995308013607</v>
      </c>
      <c r="I120" s="10">
        <f>G120</f>
        <v>855483</v>
      </c>
      <c r="J120" s="13">
        <f>E120/I120</f>
        <v>1.0607995308013607</v>
      </c>
      <c r="K120" s="47"/>
      <c r="L120" s="28"/>
      <c r="M120" s="28"/>
      <c r="O120" s="63"/>
    </row>
    <row r="121" spans="1:15" x14ac:dyDescent="0.35">
      <c r="A121" s="21" t="str">
        <f t="shared" si="24"/>
        <v>Dividendos</v>
      </c>
      <c r="B121" s="39" t="s">
        <v>21</v>
      </c>
      <c r="C121" s="50">
        <v>39469</v>
      </c>
      <c r="D121" s="50">
        <v>39489</v>
      </c>
      <c r="E121" s="42">
        <v>170000.12503891392</v>
      </c>
      <c r="F121" s="43">
        <v>1.1387620000000001</v>
      </c>
      <c r="G121" s="42"/>
      <c r="H121" s="44"/>
      <c r="I121" s="42"/>
      <c r="J121" s="45"/>
      <c r="K121" s="47"/>
      <c r="L121" s="28">
        <f t="shared" ref="L121:L127" si="27">YEAR(D121)</f>
        <v>2008</v>
      </c>
      <c r="M121" s="28">
        <v>2007</v>
      </c>
      <c r="O121" s="63"/>
    </row>
    <row r="122" spans="1:15" x14ac:dyDescent="0.35">
      <c r="A122" s="21" t="str">
        <f t="shared" si="24"/>
        <v>JCP</v>
      </c>
      <c r="B122" s="39" t="s">
        <v>20</v>
      </c>
      <c r="C122" s="50">
        <v>39429</v>
      </c>
      <c r="D122" s="50">
        <v>39465</v>
      </c>
      <c r="E122" s="42">
        <v>39122.531985127716</v>
      </c>
      <c r="F122" s="43">
        <v>0.26206600000000002</v>
      </c>
      <c r="G122" s="42"/>
      <c r="H122" s="44"/>
      <c r="I122" s="42"/>
      <c r="J122" s="45"/>
      <c r="K122" s="47"/>
      <c r="L122" s="28">
        <f t="shared" si="27"/>
        <v>2008</v>
      </c>
      <c r="M122" s="28">
        <v>2007</v>
      </c>
      <c r="O122" s="63"/>
    </row>
    <row r="123" spans="1:15" x14ac:dyDescent="0.35">
      <c r="A123" s="21" t="str">
        <f t="shared" si="24"/>
        <v>JCP</v>
      </c>
      <c r="B123" s="39" t="s">
        <v>20</v>
      </c>
      <c r="C123" s="50">
        <v>39392</v>
      </c>
      <c r="D123" s="50">
        <v>39405</v>
      </c>
      <c r="E123" s="42">
        <v>199614.84242924183</v>
      </c>
      <c r="F123" s="43">
        <v>1.3371390000000001</v>
      </c>
      <c r="G123" s="42"/>
      <c r="H123" s="44"/>
      <c r="I123" s="42"/>
      <c r="J123" s="45"/>
      <c r="K123" s="47"/>
      <c r="L123" s="28">
        <f t="shared" si="27"/>
        <v>2007</v>
      </c>
      <c r="M123" s="28">
        <v>2007</v>
      </c>
      <c r="O123" s="63"/>
    </row>
    <row r="124" spans="1:15" x14ac:dyDescent="0.35">
      <c r="A124" s="21" t="str">
        <f t="shared" si="24"/>
        <v>Dividendos</v>
      </c>
      <c r="B124" s="39" t="s">
        <v>21</v>
      </c>
      <c r="C124" s="50">
        <v>39357</v>
      </c>
      <c r="D124" s="50">
        <v>39405</v>
      </c>
      <c r="E124" s="42">
        <v>13347.127125206298</v>
      </c>
      <c r="F124" s="43">
        <v>8.9407E-2</v>
      </c>
      <c r="G124" s="42"/>
      <c r="H124" s="44"/>
      <c r="I124" s="42"/>
      <c r="J124" s="45"/>
      <c r="K124" s="47"/>
      <c r="L124" s="28">
        <f t="shared" si="27"/>
        <v>2007</v>
      </c>
      <c r="M124" s="28">
        <v>2007</v>
      </c>
      <c r="O124" s="63"/>
    </row>
    <row r="125" spans="1:15" x14ac:dyDescent="0.35">
      <c r="A125" s="21" t="str">
        <f t="shared" si="24"/>
        <v>Dividendos</v>
      </c>
      <c r="B125" s="39" t="s">
        <v>21</v>
      </c>
      <c r="C125" s="50">
        <v>39357</v>
      </c>
      <c r="D125" s="50">
        <v>39372</v>
      </c>
      <c r="E125" s="42">
        <v>160164.33122219547</v>
      </c>
      <c r="F125" s="43">
        <v>1.0728759999999999</v>
      </c>
      <c r="G125" s="42"/>
      <c r="H125" s="44"/>
      <c r="I125" s="42"/>
      <c r="J125" s="45"/>
      <c r="K125" s="47"/>
      <c r="L125" s="28">
        <f t="shared" si="27"/>
        <v>2007</v>
      </c>
      <c r="M125" s="28">
        <v>2007</v>
      </c>
      <c r="O125" s="63"/>
    </row>
    <row r="126" spans="1:15" x14ac:dyDescent="0.35">
      <c r="A126" s="21" t="str">
        <f t="shared" si="24"/>
        <v>Dividendos</v>
      </c>
      <c r="B126" s="39" t="s">
        <v>21</v>
      </c>
      <c r="C126" s="50">
        <v>39274</v>
      </c>
      <c r="D126" s="50">
        <v>39281</v>
      </c>
      <c r="E126" s="42">
        <v>240246.94468839827</v>
      </c>
      <c r="F126" s="43">
        <v>1.6093170000000001</v>
      </c>
      <c r="G126" s="42"/>
      <c r="H126" s="44"/>
      <c r="I126" s="42"/>
      <c r="J126" s="45"/>
      <c r="K126" s="47"/>
      <c r="L126" s="28">
        <f t="shared" si="27"/>
        <v>2007</v>
      </c>
      <c r="M126" s="28">
        <v>2007</v>
      </c>
      <c r="O126" s="63"/>
    </row>
    <row r="127" spans="1:15" x14ac:dyDescent="0.35">
      <c r="A127" s="21" t="str">
        <f t="shared" si="24"/>
        <v>Dividendos</v>
      </c>
      <c r="B127" s="39" t="s">
        <v>21</v>
      </c>
      <c r="C127" s="50">
        <v>39161</v>
      </c>
      <c r="D127" s="50">
        <v>39168</v>
      </c>
      <c r="E127" s="42">
        <v>85000.062519456958</v>
      </c>
      <c r="F127" s="43">
        <v>0.56938100000000003</v>
      </c>
      <c r="G127" s="42"/>
      <c r="H127" s="44"/>
      <c r="I127" s="42"/>
      <c r="J127" s="45"/>
      <c r="K127" s="47"/>
      <c r="L127" s="28">
        <f t="shared" si="27"/>
        <v>2007</v>
      </c>
      <c r="M127" s="28">
        <v>2007</v>
      </c>
      <c r="O127" s="63"/>
    </row>
    <row r="128" spans="1:15" ht="16" thickBot="1" x14ac:dyDescent="0.4">
      <c r="A128" s="21" t="str">
        <f t="shared" si="24"/>
        <v/>
      </c>
      <c r="B128" s="39"/>
      <c r="C128" s="50"/>
      <c r="D128" s="50"/>
      <c r="E128" s="42"/>
      <c r="F128" s="43"/>
      <c r="G128" s="42"/>
      <c r="H128" s="44"/>
      <c r="I128" s="42"/>
      <c r="J128" s="45"/>
      <c r="K128" s="37"/>
      <c r="L128" s="28"/>
      <c r="M128" s="28"/>
      <c r="O128" s="63"/>
    </row>
    <row r="129" spans="1:15" ht="16" thickBot="1" x14ac:dyDescent="0.4">
      <c r="A129" s="21" t="str">
        <f t="shared" si="24"/>
        <v>2006</v>
      </c>
      <c r="B129" s="8">
        <v>2006</v>
      </c>
      <c r="C129" s="9"/>
      <c r="D129" s="9"/>
      <c r="E129" s="10">
        <f>SUM(E130:E132)</f>
        <v>185075.52501443966</v>
      </c>
      <c r="F129" s="11">
        <f>SUM(F130:F132)</f>
        <v>1.239746</v>
      </c>
      <c r="G129" s="10">
        <v>117752</v>
      </c>
      <c r="H129" s="12">
        <f>E129/(G129)</f>
        <v>1.5717399705689896</v>
      </c>
      <c r="I129" s="10">
        <f>G129</f>
        <v>117752</v>
      </c>
      <c r="J129" s="13">
        <f>E129/I129</f>
        <v>1.5717399705689896</v>
      </c>
      <c r="K129" s="47"/>
      <c r="L129" s="28"/>
      <c r="M129" s="28"/>
      <c r="O129" s="63"/>
    </row>
    <row r="130" spans="1:15" x14ac:dyDescent="0.35">
      <c r="A130" s="21" t="str">
        <f t="shared" si="24"/>
        <v>Dividendos</v>
      </c>
      <c r="B130" s="22" t="s">
        <v>21</v>
      </c>
      <c r="C130" s="23">
        <v>39161</v>
      </c>
      <c r="D130" s="23">
        <v>39168</v>
      </c>
      <c r="E130" s="24">
        <v>60598.527836739471</v>
      </c>
      <c r="F130" s="25">
        <v>0.40592499999999998</v>
      </c>
      <c r="G130" s="24"/>
      <c r="H130" s="26"/>
      <c r="I130" s="24"/>
      <c r="J130" s="27"/>
      <c r="K130" s="47"/>
      <c r="L130" s="28">
        <f>YEAR(D130)</f>
        <v>2007</v>
      </c>
      <c r="M130" s="28">
        <v>2006</v>
      </c>
      <c r="O130" s="63"/>
    </row>
    <row r="131" spans="1:15" x14ac:dyDescent="0.35">
      <c r="A131" s="21" t="str">
        <f t="shared" si="24"/>
        <v>JCP</v>
      </c>
      <c r="B131" s="22" t="s">
        <v>20</v>
      </c>
      <c r="C131" s="23">
        <v>38863</v>
      </c>
      <c r="D131" s="23">
        <v>39168</v>
      </c>
      <c r="E131" s="24">
        <v>27177.042053637368</v>
      </c>
      <c r="F131" s="25">
        <v>0.18204799999999999</v>
      </c>
      <c r="G131" s="24"/>
      <c r="H131" s="26"/>
      <c r="I131" s="24"/>
      <c r="J131" s="27"/>
      <c r="K131" s="47"/>
      <c r="L131" s="28">
        <f>YEAR(D131)</f>
        <v>2007</v>
      </c>
      <c r="M131" s="28">
        <v>2006</v>
      </c>
      <c r="O131" s="63"/>
    </row>
    <row r="132" spans="1:15" x14ac:dyDescent="0.35">
      <c r="A132" s="21" t="str">
        <f t="shared" si="24"/>
        <v>Dividendos</v>
      </c>
      <c r="B132" s="22" t="s">
        <v>21</v>
      </c>
      <c r="C132" s="23">
        <v>38828</v>
      </c>
      <c r="D132" s="23">
        <v>38887</v>
      </c>
      <c r="E132" s="24">
        <v>97299.955124062821</v>
      </c>
      <c r="F132" s="25">
        <v>0.65177300000000005</v>
      </c>
      <c r="G132" s="24"/>
      <c r="H132" s="26"/>
      <c r="I132" s="24"/>
      <c r="J132" s="27"/>
      <c r="K132" s="47"/>
      <c r="L132" s="28">
        <f>YEAR(D132)</f>
        <v>2006</v>
      </c>
      <c r="M132" s="28">
        <v>2006</v>
      </c>
    </row>
    <row r="133" spans="1:15" ht="16" thickBot="1" x14ac:dyDescent="0.4">
      <c r="A133" s="21" t="str">
        <f t="shared" si="24"/>
        <v/>
      </c>
      <c r="B133" s="22"/>
      <c r="C133" s="23"/>
      <c r="D133" s="23"/>
      <c r="E133" s="24"/>
      <c r="F133" s="25"/>
      <c r="G133" s="24"/>
      <c r="H133" s="26"/>
      <c r="I133" s="24"/>
      <c r="J133" s="27"/>
      <c r="K133" s="37"/>
      <c r="L133" s="28"/>
      <c r="M133" s="28"/>
      <c r="O133" s="63"/>
    </row>
    <row r="134" spans="1:15" ht="16" thickBot="1" x14ac:dyDescent="0.4">
      <c r="A134" s="21" t="str">
        <f t="shared" si="24"/>
        <v>2005</v>
      </c>
      <c r="B134" s="8">
        <v>2005</v>
      </c>
      <c r="C134" s="9"/>
      <c r="D134" s="9"/>
      <c r="E134" s="10">
        <f>SUM(E135:E137)</f>
        <v>239353.77232392895</v>
      </c>
      <c r="F134" s="11">
        <f>SUM(F135:F137)</f>
        <v>1.603334</v>
      </c>
      <c r="G134" s="10">
        <v>468277</v>
      </c>
      <c r="H134" s="12">
        <f>E134/(G134)</f>
        <v>0.51113715242031732</v>
      </c>
      <c r="I134" s="10">
        <f>G134</f>
        <v>468277</v>
      </c>
      <c r="J134" s="13">
        <f>E134/I134</f>
        <v>0.51113715242031732</v>
      </c>
      <c r="K134" s="47"/>
      <c r="L134" s="28"/>
      <c r="M134" s="28"/>
      <c r="O134" s="63"/>
    </row>
    <row r="135" spans="1:15" x14ac:dyDescent="0.35">
      <c r="A135" s="21" t="str">
        <f t="shared" si="24"/>
        <v>JCP</v>
      </c>
      <c r="B135" s="39" t="s">
        <v>20</v>
      </c>
      <c r="C135" s="50">
        <v>38715</v>
      </c>
      <c r="D135" s="50">
        <v>38730</v>
      </c>
      <c r="E135" s="42">
        <v>89999.91691203705</v>
      </c>
      <c r="F135" s="43">
        <v>0.60287299999999999</v>
      </c>
      <c r="G135" s="42"/>
      <c r="H135" s="44"/>
      <c r="I135" s="42"/>
      <c r="J135" s="45"/>
      <c r="K135" s="47"/>
      <c r="L135" s="28">
        <f>YEAR(D135)</f>
        <v>2006</v>
      </c>
      <c r="M135" s="28">
        <v>2005</v>
      </c>
      <c r="O135" s="63"/>
    </row>
    <row r="136" spans="1:15" x14ac:dyDescent="0.35">
      <c r="A136" s="21" t="str">
        <f t="shared" si="24"/>
        <v>JCP</v>
      </c>
      <c r="B136" s="39" t="s">
        <v>20</v>
      </c>
      <c r="C136" s="50">
        <v>38618</v>
      </c>
      <c r="D136" s="50">
        <v>38632</v>
      </c>
      <c r="E136" s="42">
        <v>94999.92058965216</v>
      </c>
      <c r="F136" s="43">
        <v>0.63636599999999999</v>
      </c>
      <c r="G136" s="42"/>
      <c r="H136" s="44"/>
      <c r="I136" s="42"/>
      <c r="J136" s="45"/>
      <c r="K136" s="47"/>
      <c r="L136" s="28">
        <f>YEAR(D136)</f>
        <v>2005</v>
      </c>
      <c r="M136" s="28">
        <v>2005</v>
      </c>
      <c r="O136" s="63"/>
    </row>
    <row r="137" spans="1:15" x14ac:dyDescent="0.35">
      <c r="A137" s="21" t="str">
        <f t="shared" si="24"/>
        <v>JCP</v>
      </c>
      <c r="B137" s="39" t="s">
        <v>20</v>
      </c>
      <c r="C137" s="50">
        <v>38527</v>
      </c>
      <c r="D137" s="50">
        <v>38687</v>
      </c>
      <c r="E137" s="42">
        <v>54353.934822239724</v>
      </c>
      <c r="F137" s="43">
        <v>0.364095</v>
      </c>
      <c r="G137" s="42"/>
      <c r="H137" s="44"/>
      <c r="I137" s="42"/>
      <c r="J137" s="45"/>
      <c r="L137" s="28">
        <f>YEAR(D137)</f>
        <v>2005</v>
      </c>
      <c r="M137" s="28">
        <v>2005</v>
      </c>
    </row>
    <row r="138" spans="1:15" ht="16" thickBot="1" x14ac:dyDescent="0.4">
      <c r="A138" s="21" t="str">
        <f t="shared" si="24"/>
        <v/>
      </c>
      <c r="B138" s="39"/>
      <c r="C138" s="50"/>
      <c r="D138" s="50"/>
      <c r="E138" s="42"/>
      <c r="F138" s="43"/>
      <c r="G138" s="42"/>
      <c r="H138" s="44"/>
      <c r="I138" s="42"/>
      <c r="J138" s="45"/>
      <c r="K138" s="37"/>
      <c r="L138" s="28"/>
      <c r="M138" s="28"/>
      <c r="O138" s="63"/>
    </row>
    <row r="139" spans="1:15" ht="16" thickBot="1" x14ac:dyDescent="0.4">
      <c r="A139" s="21" t="str">
        <f t="shared" si="24"/>
        <v>2004</v>
      </c>
      <c r="B139" s="8">
        <v>2004</v>
      </c>
      <c r="C139" s="9"/>
      <c r="D139" s="9"/>
      <c r="E139" s="10">
        <f>SUM(E140)</f>
        <v>74999.995450212722</v>
      </c>
      <c r="F139" s="11">
        <f>SUM(F140)</f>
        <v>0.50239460000000002</v>
      </c>
      <c r="G139" s="10">
        <v>348778</v>
      </c>
      <c r="H139" s="12">
        <f>E139/(G139)</f>
        <v>0.21503648581680243</v>
      </c>
      <c r="I139" s="10">
        <f>G139</f>
        <v>348778</v>
      </c>
      <c r="J139" s="13">
        <f>E139/I139</f>
        <v>0.21503648581680243</v>
      </c>
      <c r="K139" s="47"/>
      <c r="L139" s="28"/>
      <c r="M139" s="28"/>
      <c r="O139" s="63"/>
    </row>
    <row r="140" spans="1:15" x14ac:dyDescent="0.35">
      <c r="A140" s="21" t="str">
        <f t="shared" si="24"/>
        <v>JCP</v>
      </c>
      <c r="B140" s="22" t="s">
        <v>20</v>
      </c>
      <c r="C140" s="23">
        <v>38324</v>
      </c>
      <c r="D140" s="23">
        <v>38526</v>
      </c>
      <c r="E140" s="24">
        <v>74999.995450212722</v>
      </c>
      <c r="F140" s="25">
        <v>0.50239460000000002</v>
      </c>
      <c r="G140" s="24"/>
      <c r="H140" s="26"/>
      <c r="I140" s="24"/>
      <c r="J140" s="27"/>
      <c r="L140" s="28">
        <f>YEAR(D140)</f>
        <v>2005</v>
      </c>
      <c r="M140" s="28">
        <v>2004</v>
      </c>
    </row>
    <row r="141" spans="1:15" ht="16" thickBot="1" x14ac:dyDescent="0.4">
      <c r="A141" s="21" t="str">
        <f t="shared" si="24"/>
        <v/>
      </c>
      <c r="B141" s="22"/>
      <c r="C141" s="23"/>
      <c r="D141" s="23"/>
      <c r="E141" s="24"/>
      <c r="F141" s="25"/>
      <c r="G141" s="24"/>
      <c r="H141" s="26"/>
      <c r="I141" s="24"/>
      <c r="J141" s="27"/>
      <c r="K141" s="37"/>
      <c r="L141" s="28"/>
      <c r="M141" s="28"/>
    </row>
    <row r="142" spans="1:15" ht="16" thickBot="1" x14ac:dyDescent="0.4">
      <c r="A142" s="21" t="str">
        <f t="shared" si="24"/>
        <v>2003</v>
      </c>
      <c r="B142" s="8">
        <v>2003</v>
      </c>
      <c r="C142" s="9"/>
      <c r="D142" s="9"/>
      <c r="E142" s="10">
        <f>SUM(E143)</f>
        <v>147248.99613225434</v>
      </c>
      <c r="F142" s="11">
        <f>SUM(F143)</f>
        <v>0.98636140000000005</v>
      </c>
      <c r="G142" s="10">
        <v>222376</v>
      </c>
      <c r="H142" s="12">
        <f>E142/(G142)</f>
        <v>0.66216226630686015</v>
      </c>
      <c r="I142" s="10">
        <f>G142</f>
        <v>222376</v>
      </c>
      <c r="J142" s="13">
        <f>E142/I142</f>
        <v>0.66216226630686015</v>
      </c>
      <c r="K142" s="47"/>
      <c r="L142" s="28"/>
      <c r="M142" s="28"/>
      <c r="O142" s="65"/>
    </row>
    <row r="143" spans="1:15" x14ac:dyDescent="0.35">
      <c r="A143" s="21" t="str">
        <f t="shared" si="24"/>
        <v>JCP</v>
      </c>
      <c r="B143" s="39" t="s">
        <v>20</v>
      </c>
      <c r="C143" s="50">
        <v>37883</v>
      </c>
      <c r="D143" s="50">
        <v>38159</v>
      </c>
      <c r="E143" s="42">
        <v>147248.99613225434</v>
      </c>
      <c r="F143" s="43">
        <v>0.98636140000000005</v>
      </c>
      <c r="G143" s="42"/>
      <c r="H143" s="44"/>
      <c r="I143" s="42"/>
      <c r="J143" s="45"/>
      <c r="L143" s="28">
        <f>YEAR(D143)</f>
        <v>2004</v>
      </c>
      <c r="M143" s="28">
        <v>2003</v>
      </c>
    </row>
    <row r="144" spans="1:15" ht="14.5" customHeight="1" thickBot="1" x14ac:dyDescent="0.4">
      <c r="A144" s="21" t="str">
        <f t="shared" si="24"/>
        <v/>
      </c>
      <c r="B144" s="73"/>
      <c r="C144" s="74"/>
      <c r="D144" s="75"/>
      <c r="E144" s="42"/>
      <c r="F144" s="43"/>
      <c r="G144" s="42"/>
      <c r="H144" s="44"/>
      <c r="I144" s="42"/>
      <c r="J144" s="45"/>
      <c r="K144" s="37"/>
      <c r="L144" s="28"/>
      <c r="M144" s="28"/>
    </row>
    <row r="145" spans="1:15" ht="16" thickBot="1" x14ac:dyDescent="0.4">
      <c r="A145" s="21" t="str">
        <f t="shared" si="24"/>
        <v>2002</v>
      </c>
      <c r="B145" s="8">
        <v>2002</v>
      </c>
      <c r="C145" s="9"/>
      <c r="D145" s="9"/>
      <c r="E145" s="10">
        <f>SUM(E146:E149)</f>
        <v>149134.83933702763</v>
      </c>
      <c r="F145" s="11">
        <f>SUM(F146:F149)</f>
        <v>0.99899389999999988</v>
      </c>
      <c r="G145" s="10">
        <v>168137</v>
      </c>
      <c r="H145" s="12">
        <f>E145/(G145)</f>
        <v>0.88698406262171703</v>
      </c>
      <c r="I145" s="10">
        <f>G145</f>
        <v>168137</v>
      </c>
      <c r="J145" s="13">
        <f>E145/I145</f>
        <v>0.88698406262171703</v>
      </c>
      <c r="K145" s="47"/>
      <c r="L145" s="28"/>
      <c r="M145" s="28"/>
      <c r="O145" s="65"/>
    </row>
    <row r="146" spans="1:15" x14ac:dyDescent="0.35">
      <c r="A146" s="21" t="str">
        <f t="shared" si="24"/>
        <v>Dividendos</v>
      </c>
      <c r="B146" s="22" t="s">
        <v>21</v>
      </c>
      <c r="C146" s="23">
        <v>37737</v>
      </c>
      <c r="D146" s="23">
        <v>37796</v>
      </c>
      <c r="E146" s="24">
        <v>12782.068339187104</v>
      </c>
      <c r="F146" s="25">
        <v>8.5621900000000001E-2</v>
      </c>
      <c r="G146" s="24"/>
      <c r="H146" s="26"/>
      <c r="I146" s="24"/>
      <c r="J146" s="27"/>
      <c r="K146" s="47"/>
      <c r="L146" s="28">
        <f>YEAR(D146)</f>
        <v>2003</v>
      </c>
      <c r="M146" s="28">
        <v>2002</v>
      </c>
      <c r="O146" s="65"/>
    </row>
    <row r="147" spans="1:15" x14ac:dyDescent="0.35">
      <c r="A147" s="21" t="str">
        <f t="shared" si="24"/>
        <v>JCP</v>
      </c>
      <c r="B147" s="22" t="s">
        <v>20</v>
      </c>
      <c r="C147" s="23">
        <v>37618</v>
      </c>
      <c r="D147" s="23">
        <v>37666</v>
      </c>
      <c r="E147" s="24">
        <v>49999.88749111614</v>
      </c>
      <c r="F147" s="25">
        <v>0.33492899999999998</v>
      </c>
      <c r="G147" s="24"/>
      <c r="H147" s="26"/>
      <c r="I147" s="24"/>
      <c r="J147" s="27"/>
      <c r="K147" s="47"/>
      <c r="L147" s="28">
        <f>YEAR(D147)</f>
        <v>2003</v>
      </c>
      <c r="M147" s="28">
        <v>2002</v>
      </c>
      <c r="O147" s="65"/>
    </row>
    <row r="148" spans="1:15" x14ac:dyDescent="0.35">
      <c r="A148" s="21" t="str">
        <f t="shared" si="24"/>
        <v>JCP</v>
      </c>
      <c r="B148" s="22" t="s">
        <v>20</v>
      </c>
      <c r="C148" s="23">
        <v>37533</v>
      </c>
      <c r="D148" s="23">
        <v>37582</v>
      </c>
      <c r="E148" s="24">
        <v>31999.993679729734</v>
      </c>
      <c r="F148" s="25">
        <v>0.21435499999999999</v>
      </c>
      <c r="G148" s="24"/>
      <c r="H148" s="26"/>
      <c r="I148" s="24"/>
      <c r="J148" s="27"/>
      <c r="K148" s="47"/>
      <c r="L148" s="28">
        <f>YEAR(D148)</f>
        <v>2002</v>
      </c>
      <c r="M148" s="28">
        <v>2002</v>
      </c>
      <c r="O148" s="65"/>
    </row>
    <row r="149" spans="1:15" x14ac:dyDescent="0.35">
      <c r="A149" s="21" t="str">
        <f t="shared" si="24"/>
        <v>JCP</v>
      </c>
      <c r="B149" s="22" t="s">
        <v>20</v>
      </c>
      <c r="C149" s="23">
        <v>37442</v>
      </c>
      <c r="D149" s="23">
        <v>37491</v>
      </c>
      <c r="E149" s="24">
        <v>54352.889826994666</v>
      </c>
      <c r="F149" s="25">
        <v>0.36408800000000002</v>
      </c>
      <c r="G149" s="24"/>
      <c r="H149" s="26"/>
      <c r="I149" s="24"/>
      <c r="J149" s="27"/>
      <c r="L149" s="28">
        <f>YEAR(D149)</f>
        <v>2002</v>
      </c>
      <c r="M149" s="28">
        <v>2002</v>
      </c>
    </row>
    <row r="150" spans="1:15" x14ac:dyDescent="0.35">
      <c r="A150" s="21" t="str">
        <f t="shared" si="24"/>
        <v/>
      </c>
      <c r="B150" s="76"/>
      <c r="C150" s="77"/>
      <c r="D150" s="77"/>
      <c r="E150" s="78"/>
      <c r="F150" s="79"/>
      <c r="G150" s="78"/>
      <c r="H150" s="80"/>
      <c r="I150" s="78"/>
      <c r="J150" s="81"/>
    </row>
    <row r="151" spans="1:15" x14ac:dyDescent="0.35">
      <c r="B151" s="82" t="s">
        <v>25</v>
      </c>
      <c r="C151" s="83"/>
      <c r="D151" s="83"/>
      <c r="E151" s="84"/>
      <c r="F151" s="85"/>
      <c r="G151" s="84"/>
      <c r="H151" s="83"/>
      <c r="I151" s="84"/>
      <c r="J151" s="83"/>
    </row>
    <row r="152" spans="1:15" x14ac:dyDescent="0.35">
      <c r="B152" s="82" t="s">
        <v>26</v>
      </c>
    </row>
    <row r="153" spans="1:15" x14ac:dyDescent="0.35">
      <c r="B153" s="82" t="s">
        <v>52</v>
      </c>
    </row>
    <row r="154" spans="1:15" x14ac:dyDescent="0.35"/>
  </sheetData>
  <mergeCells count="1">
    <mergeCell ref="B1:B4"/>
  </mergeCells>
  <hyperlinks>
    <hyperlink ref="F2" location="Menu!A1" display="→Menu←" xr:uid="{88132A0D-51BF-4755-AD51-5A11DD5D4B1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44AC-C3FF-4586-B97B-DE7D1EBC3340}">
  <dimension ref="A1:AJ153"/>
  <sheetViews>
    <sheetView showGridLines="0" topLeftCell="B1" zoomScaleNormal="100" workbookViewId="0">
      <selection activeCell="O6" sqref="O6"/>
    </sheetView>
  </sheetViews>
  <sheetFormatPr defaultColWidth="8.81640625" defaultRowHeight="15.5" outlineLevelCol="1" x14ac:dyDescent="0.35"/>
  <cols>
    <col min="1" max="1" width="10.81640625" style="1" hidden="1" customWidth="1" outlineLevel="1"/>
    <col min="2" max="2" width="16.1796875" style="57" bestFit="1" customWidth="1" collapsed="1"/>
    <col min="3" max="3" width="15.81640625" style="57" customWidth="1"/>
    <col min="4" max="4" width="15.1796875" style="57" customWidth="1"/>
    <col min="5" max="5" width="15.453125" style="86" customWidth="1"/>
    <col min="6" max="6" width="12.1796875" style="87" customWidth="1"/>
    <col min="7" max="7" width="15.453125" style="86" customWidth="1"/>
    <col min="8" max="8" width="13.54296875" style="57" customWidth="1"/>
    <col min="9" max="9" width="15.453125" style="86" customWidth="1"/>
    <col min="10" max="10" width="14.1796875" style="57" bestFit="1" customWidth="1"/>
    <col min="11" max="11" width="9.54296875" style="7" bestFit="1" customWidth="1"/>
    <col min="12" max="13" width="8.81640625" style="6" customWidth="1" outlineLevel="1"/>
    <col min="14" max="14" width="5.453125" style="7" customWidth="1"/>
    <col min="15" max="15" width="13.81640625" style="57" customWidth="1"/>
    <col min="16" max="16" width="12.1796875" style="57" customWidth="1"/>
    <col min="17" max="17" width="14.6328125" style="57" customWidth="1"/>
    <col min="18" max="18" width="14.1796875" style="7" customWidth="1"/>
    <col min="19" max="20" width="17.1796875" style="7" customWidth="1"/>
    <col min="21" max="21" width="8.81640625" style="7"/>
    <col min="22" max="22" width="11.1796875" style="57" customWidth="1"/>
    <col min="23" max="23" width="15.1796875" style="57" customWidth="1"/>
    <col min="24" max="24" width="15.6328125" style="57" customWidth="1"/>
    <col min="25" max="25" width="15.7265625" style="7" customWidth="1"/>
    <col min="26" max="26" width="17.453125" style="7" customWidth="1"/>
    <col min="27" max="27" width="17.90625" style="62" customWidth="1"/>
    <col min="28" max="28" width="14.1796875" style="7" customWidth="1"/>
    <col min="29" max="16384" width="8.81640625" style="7"/>
  </cols>
  <sheetData>
    <row r="1" spans="1:36" s="98" customFormat="1" ht="14" customHeight="1" x14ac:dyDescent="0.3">
      <c r="A1" s="93"/>
      <c r="B1" s="108" t="e" vm="1">
        <v>#VALUE!</v>
      </c>
      <c r="C1" s="94"/>
      <c r="D1" s="94"/>
      <c r="E1" s="94"/>
      <c r="F1" s="95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7"/>
    </row>
    <row r="2" spans="1:36" s="98" customFormat="1" ht="14" customHeight="1" x14ac:dyDescent="0.3">
      <c r="A2" s="93"/>
      <c r="B2" s="109"/>
      <c r="C2" s="99" t="s">
        <v>48</v>
      </c>
      <c r="D2" s="100">
        <v>45930</v>
      </c>
      <c r="E2" s="99"/>
      <c r="F2" s="101" t="s">
        <v>49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102"/>
    </row>
    <row r="3" spans="1:36" s="98" customFormat="1" ht="14" customHeight="1" x14ac:dyDescent="0.3">
      <c r="A3" s="93"/>
      <c r="B3" s="109"/>
      <c r="C3" s="99" t="s">
        <v>50</v>
      </c>
      <c r="D3" s="103" t="s">
        <v>53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102"/>
    </row>
    <row r="4" spans="1:36" s="98" customFormat="1" ht="16" thickBot="1" x14ac:dyDescent="0.4">
      <c r="A4" s="93"/>
      <c r="B4" s="110"/>
      <c r="C4" s="104"/>
      <c r="D4" s="104"/>
      <c r="E4" s="104"/>
      <c r="F4" s="105"/>
      <c r="G4" s="105"/>
      <c r="H4" s="105"/>
      <c r="I4" s="106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7"/>
    </row>
    <row r="6" spans="1:36" ht="68.5" customHeight="1" thickBot="1" x14ac:dyDescent="0.4">
      <c r="B6" s="2" t="s">
        <v>28</v>
      </c>
      <c r="C6" s="2" t="s">
        <v>29</v>
      </c>
      <c r="D6" s="2" t="s">
        <v>30</v>
      </c>
      <c r="E6" s="3" t="s">
        <v>31</v>
      </c>
      <c r="F6" s="4" t="s">
        <v>32</v>
      </c>
      <c r="G6" s="3" t="s">
        <v>33</v>
      </c>
      <c r="H6" s="2" t="s">
        <v>34</v>
      </c>
      <c r="I6" s="3" t="s">
        <v>35</v>
      </c>
      <c r="J6" s="2" t="s">
        <v>36</v>
      </c>
      <c r="L6" s="137" t="s">
        <v>37</v>
      </c>
      <c r="M6" s="137" t="s">
        <v>38</v>
      </c>
      <c r="O6" s="2" t="s">
        <v>37</v>
      </c>
      <c r="P6" s="2" t="s">
        <v>39</v>
      </c>
      <c r="Q6" s="2" t="s">
        <v>40</v>
      </c>
      <c r="R6" s="2" t="s">
        <v>31</v>
      </c>
      <c r="S6" s="2" t="s">
        <v>32</v>
      </c>
      <c r="T6" s="2" t="s">
        <v>41</v>
      </c>
      <c r="V6" s="2" t="s">
        <v>38</v>
      </c>
      <c r="W6" s="2" t="s">
        <v>39</v>
      </c>
      <c r="X6" s="2" t="s">
        <v>40</v>
      </c>
      <c r="Y6" s="2" t="s">
        <v>31</v>
      </c>
      <c r="Z6" s="2" t="s">
        <v>35</v>
      </c>
      <c r="AA6" s="2" t="s">
        <v>35</v>
      </c>
      <c r="AB6" s="2" t="s">
        <v>36</v>
      </c>
    </row>
    <row r="7" spans="1:36" ht="16" thickBot="1" x14ac:dyDescent="0.4">
      <c r="B7" s="8">
        <f>'Proventos (port)'!B7</f>
        <v>2025</v>
      </c>
      <c r="C7" s="91"/>
      <c r="D7" s="91"/>
      <c r="E7" s="10">
        <f>'Proventos (port)'!E7</f>
        <v>444744.25355999998</v>
      </c>
      <c r="F7" s="11">
        <f>'Proventos (port)'!F7</f>
        <v>0.67499700000000007</v>
      </c>
      <c r="G7" s="10">
        <f>'Proventos (port)'!G7</f>
        <v>928407.52626999805</v>
      </c>
      <c r="H7" s="12">
        <f>'Proventos (port)'!H7</f>
        <v>0.47903990540320129</v>
      </c>
      <c r="I7" s="10">
        <f>'Proventos (port)'!I7</f>
        <v>592993.93679000007</v>
      </c>
      <c r="J7" s="13">
        <f>'Proventos (port)'!J7</f>
        <v>0.74999797800209134</v>
      </c>
      <c r="K7" s="5"/>
      <c r="O7" s="29">
        <v>2025</v>
      </c>
      <c r="P7" s="30">
        <f>'Proventos (port)'!P7</f>
        <v>2000259.01856</v>
      </c>
      <c r="Q7" s="31">
        <f>'Proventos (port)'!Q7</f>
        <v>0</v>
      </c>
      <c r="R7" s="30">
        <f>'Proventos (port)'!R7</f>
        <v>2000259.01856</v>
      </c>
      <c r="S7" s="32">
        <f>'Proventos (port)'!S7</f>
        <v>3.0358320000017605</v>
      </c>
      <c r="T7" s="32">
        <f>'Proventos (port)'!T7</f>
        <v>0</v>
      </c>
      <c r="V7" s="29">
        <f>'Proventos (port)'!V7</f>
        <v>2025</v>
      </c>
      <c r="W7" s="33">
        <f>'Proventos (port)'!W7</f>
        <v>444744.25355999998</v>
      </c>
      <c r="X7" s="34">
        <f>'Proventos (port)'!X7</f>
        <v>0</v>
      </c>
      <c r="Y7" s="33">
        <f>'Proventos (port)'!Y7</f>
        <v>444744.25355999998</v>
      </c>
      <c r="Z7" s="32">
        <f>'Proventos (port)'!Z7</f>
        <v>0.67499700000000007</v>
      </c>
      <c r="AA7" s="111">
        <f>'Proventos (port)'!AA7</f>
        <v>592993.93679000007</v>
      </c>
      <c r="AB7" s="118">
        <f>'Proventos (port)'!AB7</f>
        <v>0.74999797800209134</v>
      </c>
    </row>
    <row r="8" spans="1:36" x14ac:dyDescent="0.35">
      <c r="A8" s="21" t="str">
        <f>LEFT(B13,10)</f>
        <v>IOE</v>
      </c>
      <c r="B8" s="22" t="str">
        <f>'Proventos (port)'!B8</f>
        <v>JCP</v>
      </c>
      <c r="C8" s="92">
        <f>'Proventos (port)'!C8</f>
        <v>45961</v>
      </c>
      <c r="D8" s="92">
        <f>'Proventos (port)'!D8</f>
        <v>45989</v>
      </c>
      <c r="E8" s="24">
        <f>'Proventos (port)'!E8</f>
        <v>148248.08452</v>
      </c>
      <c r="F8" s="25">
        <f>'Proventos (port)'!F8</f>
        <v>0.224999</v>
      </c>
      <c r="G8" s="24"/>
      <c r="H8" s="26"/>
      <c r="I8" s="24"/>
      <c r="J8" s="27"/>
      <c r="K8" s="5"/>
      <c r="L8" s="28">
        <f>YEAR(D13)</f>
        <v>2025</v>
      </c>
      <c r="M8" s="28">
        <v>2025</v>
      </c>
      <c r="O8" s="14">
        <v>2024</v>
      </c>
      <c r="P8" s="15">
        <f>'Proventos (port)'!P8</f>
        <v>1452233.48933</v>
      </c>
      <c r="Q8" s="16">
        <f>'Proventos (port)'!Q8</f>
        <v>0</v>
      </c>
      <c r="R8" s="15">
        <f>'Proventos (port)'!R8</f>
        <v>1452233.48933</v>
      </c>
      <c r="S8" s="17">
        <f>'Proventos (port)'!S8</f>
        <v>2.2040829999996481</v>
      </c>
      <c r="T8" s="17">
        <f>'Proventos (port)'!T8</f>
        <v>0</v>
      </c>
      <c r="V8" s="112">
        <f>'Proventos (port)'!V8</f>
        <v>2024</v>
      </c>
      <c r="W8" s="113">
        <f>'Proventos (port)'!W8</f>
        <v>1555514.7649999999</v>
      </c>
      <c r="X8" s="114">
        <f>'Proventos (port)'!X8</f>
        <v>0</v>
      </c>
      <c r="Y8" s="113">
        <f>'Proventos (port)'!Y8</f>
        <v>1555514.7649999999</v>
      </c>
      <c r="Z8" s="115">
        <f>'Proventos (port)'!Z8</f>
        <v>2.3608350000017602</v>
      </c>
      <c r="AA8" s="116">
        <f>'Proventos (port)'!AA8</f>
        <v>2076570.9974200181</v>
      </c>
      <c r="AB8" s="117">
        <f>'Proventos (port)'!AB8</f>
        <v>0.74907853713290273</v>
      </c>
    </row>
    <row r="9" spans="1:36" x14ac:dyDescent="0.35">
      <c r="A9" s="21" t="str">
        <f>LEFT(B14,10)</f>
        <v>IOE</v>
      </c>
      <c r="B9" s="22" t="str">
        <f>'Proventos (port)'!B9</f>
        <v>JCP</v>
      </c>
      <c r="C9" s="92">
        <f>'Proventos (port)'!C9</f>
        <v>45986</v>
      </c>
      <c r="D9" s="92">
        <f>'Proventos (port)'!D9</f>
        <v>46006</v>
      </c>
      <c r="E9" s="24">
        <f>'Proventos (port)'!E9</f>
        <v>148248.08452</v>
      </c>
      <c r="F9" s="25">
        <f>'Proventos (port)'!F9</f>
        <v>0.224999</v>
      </c>
      <c r="G9" s="24"/>
      <c r="H9" s="26"/>
      <c r="I9" s="24"/>
      <c r="J9" s="27"/>
      <c r="K9" s="5"/>
      <c r="L9" s="28">
        <f>YEAR(D14)</f>
        <v>2025</v>
      </c>
      <c r="M9" s="28">
        <v>2025</v>
      </c>
      <c r="O9" s="29">
        <f>O8-1</f>
        <v>2023</v>
      </c>
      <c r="P9" s="30">
        <f>'Proventos (port)'!P9</f>
        <v>700000.25769999996</v>
      </c>
      <c r="Q9" s="31">
        <f>'Proventos (port)'!Q9</f>
        <v>0</v>
      </c>
      <c r="R9" s="30">
        <f>'Proventos (port)'!R9</f>
        <v>700000.25769999996</v>
      </c>
      <c r="S9" s="32">
        <f>'Proventos (port)'!S9</f>
        <v>1.0624039999999999</v>
      </c>
      <c r="T9" s="32">
        <f>'Proventos (port)'!T9</f>
        <v>0</v>
      </c>
      <c r="V9" s="29">
        <f>'Proventos (port)'!V9</f>
        <v>2023</v>
      </c>
      <c r="W9" s="33">
        <f>'Proventos (port)'!W9</f>
        <v>1452233.48933</v>
      </c>
      <c r="X9" s="34">
        <f>'Proventos (port)'!X9</f>
        <v>0</v>
      </c>
      <c r="Y9" s="33">
        <f>'Proventos (port)'!Y9</f>
        <v>1452233.48933</v>
      </c>
      <c r="Z9" s="32">
        <f>'Proventos (port)'!Z9</f>
        <v>2.2040829999996481</v>
      </c>
      <c r="AA9" s="111">
        <f>'Proventos (port)'!AA9</f>
        <v>1942286</v>
      </c>
      <c r="AB9" s="35">
        <f>'Proventos (port)'!AB9</f>
        <v>0.74769291923537518</v>
      </c>
    </row>
    <row r="10" spans="1:36" x14ac:dyDescent="0.35">
      <c r="A10" s="21" t="str">
        <f>LEFT(B15,10)</f>
        <v>IOE</v>
      </c>
      <c r="B10" s="22" t="str">
        <f>'Proventos (port)'!B10</f>
        <v>JCP</v>
      </c>
      <c r="C10" s="92">
        <f>'Proventos (port)'!C10</f>
        <v>46009</v>
      </c>
      <c r="D10" s="92">
        <f>'Proventos (port)'!D10</f>
        <v>46021</v>
      </c>
      <c r="E10" s="24">
        <f>'Proventos (port)'!E10</f>
        <v>148248.08452</v>
      </c>
      <c r="F10" s="25">
        <f>'Proventos (port)'!F10</f>
        <v>0.224999</v>
      </c>
      <c r="G10" s="24"/>
      <c r="H10" s="26"/>
      <c r="I10" s="24"/>
      <c r="J10" s="27"/>
      <c r="K10" s="5"/>
      <c r="L10" s="28">
        <f>YEAR(D15)</f>
        <v>2025</v>
      </c>
      <c r="M10" s="28">
        <v>2025</v>
      </c>
      <c r="O10" s="14">
        <f>O9-1</f>
        <v>2022</v>
      </c>
      <c r="P10" s="15">
        <f>'Proventos (port)'!P10</f>
        <v>114577.17103</v>
      </c>
      <c r="Q10" s="16">
        <f>'Proventos (port)'!Q10</f>
        <v>0</v>
      </c>
      <c r="R10" s="15">
        <f>'Proventos (port)'!R10</f>
        <v>114577.17103</v>
      </c>
      <c r="S10" s="17">
        <f>'Proventos (port)'!S10</f>
        <v>0.173896</v>
      </c>
      <c r="T10" s="17">
        <f>'Proventos (port)'!T10</f>
        <v>0</v>
      </c>
      <c r="V10" s="112">
        <f>'Proventos (port)'!V10</f>
        <v>2022</v>
      </c>
      <c r="W10" s="113">
        <f>'Proventos (port)'!W10</f>
        <v>700000.25769999996</v>
      </c>
      <c r="X10" s="114">
        <f>'Proventos (port)'!X10</f>
        <v>0</v>
      </c>
      <c r="Y10" s="113">
        <f>'Proventos (port)'!Y10</f>
        <v>700000.25769999996</v>
      </c>
      <c r="Z10" s="115">
        <f>'Proventos (port)'!Z10</f>
        <v>1.0624039999999999</v>
      </c>
      <c r="AA10" s="116">
        <f>'Proventos (port)'!AA10</f>
        <v>936887.00000000035</v>
      </c>
      <c r="AB10" s="117">
        <f>'Proventos (port)'!AB10</f>
        <v>0.74715548161090894</v>
      </c>
    </row>
    <row r="11" spans="1:36" ht="16" thickBot="1" x14ac:dyDescent="0.4">
      <c r="A11" s="21"/>
      <c r="K11" s="5"/>
      <c r="O11" s="29">
        <f t="shared" ref="O11:O30" si="0">O10-1</f>
        <v>2021</v>
      </c>
      <c r="P11" s="30">
        <f>'Proventos (port)'!P11</f>
        <v>950379.20763999992</v>
      </c>
      <c r="Q11" s="31">
        <f>'Proventos (port)'!Q11</f>
        <v>1851531.9258749678</v>
      </c>
      <c r="R11" s="30">
        <f>'Proventos (port)'!R11</f>
        <v>2801911.1335149677</v>
      </c>
      <c r="S11" s="32">
        <f>'Proventos (port)'!S11</f>
        <v>4.2525149999999998</v>
      </c>
      <c r="T11" s="32">
        <f>'Proventos (port)'!T11</f>
        <v>2.8101060000000002</v>
      </c>
      <c r="V11" s="29">
        <f>'Proventos (port)'!V11</f>
        <v>2021</v>
      </c>
      <c r="W11" s="33">
        <f>'Proventos (port)'!W11</f>
        <v>629109.02636999998</v>
      </c>
      <c r="X11" s="34">
        <f>'Proventos (port)'!X11</f>
        <v>1211082.8589499998</v>
      </c>
      <c r="Y11" s="33">
        <f>'Proventos (port)'!Y11</f>
        <v>1840191.8853199999</v>
      </c>
      <c r="Z11" s="32">
        <f>'Proventos (port)'!Z11</f>
        <v>2.7928950000000001</v>
      </c>
      <c r="AA11" s="111">
        <f>'Proventos (port)'!AA11</f>
        <v>877567</v>
      </c>
      <c r="AB11" s="35">
        <f>'Proventos (port)'!AB11</f>
        <v>2.0969246625271913</v>
      </c>
    </row>
    <row r="12" spans="1:36" ht="16.5" thickBot="1" x14ac:dyDescent="0.45">
      <c r="A12" s="36"/>
      <c r="B12" s="8">
        <v>2024</v>
      </c>
      <c r="C12" s="91"/>
      <c r="D12" s="91"/>
      <c r="E12" s="10">
        <f>SUM(E13:E15)</f>
        <v>1555514.7649999999</v>
      </c>
      <c r="F12" s="11">
        <f>SUM(F13:F15)</f>
        <v>2.3608350000017602</v>
      </c>
      <c r="G12" s="10">
        <v>3498416.3703099997</v>
      </c>
      <c r="H12" s="12">
        <f>E12/G12</f>
        <v>0.44463397158816848</v>
      </c>
      <c r="I12" s="10">
        <v>2076570.9974200181</v>
      </c>
      <c r="J12" s="13">
        <f>E12/I12</f>
        <v>0.74907853713290273</v>
      </c>
      <c r="N12" s="38"/>
      <c r="O12" s="14">
        <f t="shared" si="0"/>
        <v>2020</v>
      </c>
      <c r="P12" s="15">
        <f>'Proventos (port)'!P12</f>
        <v>258178.36032000001</v>
      </c>
      <c r="Q12" s="16">
        <f>'Proventos (port)'!Q12</f>
        <v>444000</v>
      </c>
      <c r="R12" s="15">
        <f>'Proventos (port)'!R12</f>
        <v>702178.36031999998</v>
      </c>
      <c r="S12" s="17">
        <f>'Proventos (port)'!S12</f>
        <v>1.0657099999999999</v>
      </c>
      <c r="T12" s="17">
        <f>'Proventos (port)'!T12</f>
        <v>0.67386699999999999</v>
      </c>
      <c r="V12" s="14">
        <f>'Proventos (port)'!V12</f>
        <v>2020</v>
      </c>
      <c r="W12" s="18">
        <f>'Proventos (port)'!W12</f>
        <v>586180.35230000003</v>
      </c>
      <c r="X12" s="19">
        <f>'Proventos (port)'!X12</f>
        <v>1084449.0669249683</v>
      </c>
      <c r="Y12" s="18">
        <f>'Proventos (port)'!Y12</f>
        <v>1670629.4192249682</v>
      </c>
      <c r="Z12" s="17">
        <f>'Proventos (port)'!Z12</f>
        <v>2.5355469999999998</v>
      </c>
      <c r="AA12" s="116">
        <f>'Proventos (port)'!AA12</f>
        <v>2002390</v>
      </c>
      <c r="AB12" s="117">
        <f>'Proventos (port)'!AB12</f>
        <v>0.83431769996103067</v>
      </c>
    </row>
    <row r="13" spans="1:36" x14ac:dyDescent="0.35">
      <c r="A13" s="21" t="str">
        <f>LEFT(B18,9)</f>
        <v>IOE</v>
      </c>
      <c r="B13" s="22" t="s">
        <v>42</v>
      </c>
      <c r="C13" s="92">
        <v>45667</v>
      </c>
      <c r="D13" s="92">
        <v>45678</v>
      </c>
      <c r="E13" s="24">
        <v>518504.92166666663</v>
      </c>
      <c r="F13" s="25">
        <v>0.78694500000058676</v>
      </c>
      <c r="G13" s="24"/>
      <c r="H13" s="26"/>
      <c r="I13" s="24"/>
      <c r="J13" s="27"/>
      <c r="L13" s="28">
        <v>2025</v>
      </c>
      <c r="M13" s="6">
        <v>2024</v>
      </c>
      <c r="N13" s="38"/>
      <c r="O13" s="29">
        <f t="shared" si="0"/>
        <v>2019</v>
      </c>
      <c r="P13" s="30">
        <f>'Proventos (port)'!P13</f>
        <v>593859.42848999996</v>
      </c>
      <c r="Q13" s="31">
        <f>'Proventos (port)'!Q13</f>
        <v>293555.57285</v>
      </c>
      <c r="R13" s="30">
        <f>'Proventos (port)'!R13</f>
        <v>887415.00133999996</v>
      </c>
      <c r="S13" s="32">
        <f>'Proventos (port)'!S13</f>
        <v>1.3468469999999999</v>
      </c>
      <c r="T13" s="32">
        <f>'Proventos (port)'!T13</f>
        <v>0.44553500000000001</v>
      </c>
      <c r="V13" s="29">
        <f>'Proventos (port)'!V13</f>
        <v>2019</v>
      </c>
      <c r="W13" s="33">
        <f>'Proventos (port)'!W13</f>
        <v>701704.78881000006</v>
      </c>
      <c r="X13" s="34">
        <f>'Proventos (port)'!X13</f>
        <v>293555.57284999988</v>
      </c>
      <c r="Y13" s="33">
        <f>'Proventos (port)'!Y13</f>
        <v>995260.36165999994</v>
      </c>
      <c r="Z13" s="32">
        <f>'Proventos (port)'!Z13</f>
        <v>1.510526</v>
      </c>
      <c r="AA13" s="111">
        <f>'Proventos (port)'!AA13</f>
        <v>1221830</v>
      </c>
      <c r="AB13" s="35">
        <f>'Proventos (port)'!AB13</f>
        <v>0.81456533368799255</v>
      </c>
    </row>
    <row r="14" spans="1:36" x14ac:dyDescent="0.35">
      <c r="A14" s="21" t="str">
        <f>LEFT(B19,9)</f>
        <v>IOE</v>
      </c>
      <c r="B14" s="22" t="s">
        <v>42</v>
      </c>
      <c r="C14" s="92">
        <v>45700</v>
      </c>
      <c r="D14" s="92">
        <v>45709</v>
      </c>
      <c r="E14" s="24">
        <v>518504.92166666663</v>
      </c>
      <c r="F14" s="25">
        <v>0.78694500000058676</v>
      </c>
      <c r="G14" s="24"/>
      <c r="H14" s="26"/>
      <c r="I14" s="24"/>
      <c r="J14" s="27"/>
      <c r="L14" s="28">
        <v>2025</v>
      </c>
      <c r="M14" s="6">
        <v>2024</v>
      </c>
      <c r="N14" s="38"/>
      <c r="O14" s="14">
        <f t="shared" si="0"/>
        <v>2018</v>
      </c>
      <c r="P14" s="15">
        <f>'Proventos (port)'!P14</f>
        <v>592000.05981000001</v>
      </c>
      <c r="Q14" s="16">
        <f>'Proventos (port)'!Q14</f>
        <v>1478000.1092593162</v>
      </c>
      <c r="R14" s="15">
        <f>'Proventos (port)'!R14</f>
        <v>2070000.1690693162</v>
      </c>
      <c r="S14" s="17">
        <f>'Proventos (port)'!S14</f>
        <v>12.566718</v>
      </c>
      <c r="T14" s="17">
        <f>'Proventos (port)'!T14</f>
        <v>8.9727579999999989</v>
      </c>
      <c r="V14" s="14">
        <f>'Proventos (port)'!V14</f>
        <v>2018</v>
      </c>
      <c r="W14" s="18">
        <f>'Proventos (port)'!W14</f>
        <v>592000.05981000001</v>
      </c>
      <c r="X14" s="19">
        <f>'Proventos (port)'!X14</f>
        <v>1393306.5904800002</v>
      </c>
      <c r="Y14" s="18">
        <f>'Proventos (port)'!Y14</f>
        <v>1985306.6502900003</v>
      </c>
      <c r="Z14" s="17">
        <f>'Proventos (port)'!Z14</f>
        <v>12.052554000000001</v>
      </c>
      <c r="AA14" s="116">
        <f>'Proventos (port)'!AA14</f>
        <v>1276311</v>
      </c>
      <c r="AB14" s="117">
        <f>'Proventos (port)'!AB14</f>
        <v>1.5555038311900471</v>
      </c>
    </row>
    <row r="15" spans="1:36" x14ac:dyDescent="0.35">
      <c r="A15" s="21"/>
      <c r="B15" s="22" t="s">
        <v>42</v>
      </c>
      <c r="C15" s="92">
        <v>45728</v>
      </c>
      <c r="D15" s="92">
        <v>45737</v>
      </c>
      <c r="E15" s="24">
        <v>518504.92166666663</v>
      </c>
      <c r="F15" s="25">
        <v>0.78694500000058676</v>
      </c>
      <c r="G15" s="24"/>
      <c r="H15" s="26"/>
      <c r="I15" s="24"/>
      <c r="J15" s="27"/>
      <c r="N15" s="38"/>
      <c r="O15" s="29">
        <f t="shared" si="0"/>
        <v>2017</v>
      </c>
      <c r="P15" s="30">
        <f>'Proventos (port)'!P15</f>
        <v>0</v>
      </c>
      <c r="Q15" s="31">
        <f>'Proventos (port)'!Q15</f>
        <v>637900.17685804993</v>
      </c>
      <c r="R15" s="30">
        <f>'Proventos (port)'!R15</f>
        <v>637900.17685804993</v>
      </c>
      <c r="S15" s="32">
        <f>'Proventos (port)'!S15</f>
        <v>3.872614</v>
      </c>
      <c r="T15" s="32">
        <f>'Proventos (port)'!T15</f>
        <v>3.872614</v>
      </c>
      <c r="V15" s="29">
        <f>'Proventos (port)'!V15</f>
        <v>2017</v>
      </c>
      <c r="W15" s="33">
        <f>'Proventos (port)'!W15</f>
        <v>0</v>
      </c>
      <c r="X15" s="34">
        <f>'Proventos (port)'!X15</f>
        <v>585093.64501741016</v>
      </c>
      <c r="Y15" s="33">
        <f>'Proventos (port)'!Y15</f>
        <v>585093.64501741016</v>
      </c>
      <c r="Z15" s="32">
        <f>'Proventos (port)'!Z15</f>
        <v>3.5520320000000001</v>
      </c>
      <c r="AA15" s="111">
        <f>'Proventos (port)'!AA15</f>
        <v>615474</v>
      </c>
      <c r="AB15" s="35">
        <f>'Proventos (port)'!AB15</f>
        <v>0.95063909282505865</v>
      </c>
    </row>
    <row r="16" spans="1:36" ht="16" thickBot="1" x14ac:dyDescent="0.4">
      <c r="A16" s="21"/>
      <c r="B16" s="22"/>
      <c r="C16" s="23"/>
      <c r="D16" s="23"/>
      <c r="E16" s="24"/>
      <c r="F16" s="25"/>
      <c r="G16" s="24"/>
      <c r="H16" s="26"/>
      <c r="I16" s="24"/>
      <c r="J16" s="27"/>
      <c r="K16" s="38"/>
      <c r="L16" s="28"/>
      <c r="M16" s="28"/>
      <c r="N16" s="38"/>
      <c r="O16" s="14">
        <f t="shared" si="0"/>
        <v>2016</v>
      </c>
      <c r="P16" s="15">
        <f>'Proventos (port)'!P16</f>
        <v>0</v>
      </c>
      <c r="Q16" s="16">
        <f>'Proventos (port)'!Q16</f>
        <v>110000.07344012988</v>
      </c>
      <c r="R16" s="15">
        <f>'Proventos (port)'!R16</f>
        <v>110000.07344012988</v>
      </c>
      <c r="S16" s="17">
        <f>'Proventos (port)'!S16</f>
        <v>0.66779699999999997</v>
      </c>
      <c r="T16" s="17">
        <f>'Proventos (port)'!T16</f>
        <v>0.66779699999999997</v>
      </c>
      <c r="V16" s="14">
        <f>'Proventos (port)'!V16</f>
        <v>2016</v>
      </c>
      <c r="W16" s="18">
        <f>'Proventos (port)'!W16</f>
        <v>0</v>
      </c>
      <c r="X16" s="19">
        <f>'Proventos (port)'!X16</f>
        <v>247500.12406008574</v>
      </c>
      <c r="Y16" s="18">
        <f>'Proventos (port)'!Y16</f>
        <v>247500.12406008574</v>
      </c>
      <c r="Z16" s="17">
        <f>'Proventos (port)'!Z16</f>
        <v>1.502543</v>
      </c>
      <c r="AA16" s="116">
        <f>'Proventos (port)'!AA16</f>
        <v>228785</v>
      </c>
      <c r="AB16" s="117">
        <f>'Proventos (port)'!AB16</f>
        <v>1.0818022338006676</v>
      </c>
    </row>
    <row r="17" spans="1:28" ht="16" thickBot="1" x14ac:dyDescent="0.4">
      <c r="A17" s="21" t="str">
        <f>LEFT(B22,9)</f>
        <v>IOE</v>
      </c>
      <c r="B17" s="8">
        <v>2023</v>
      </c>
      <c r="C17" s="9"/>
      <c r="D17" s="9"/>
      <c r="E17" s="10">
        <f>SUM(E18:E19)</f>
        <v>1452233.48933</v>
      </c>
      <c r="F17" s="11">
        <f>SUM(F18:F19)</f>
        <v>2.2040829999996481</v>
      </c>
      <c r="G17" s="10">
        <v>2841116.8365800008</v>
      </c>
      <c r="H17" s="12">
        <f>E17/G17</f>
        <v>0.51114880973291066</v>
      </c>
      <c r="I17" s="10">
        <v>1942286</v>
      </c>
      <c r="J17" s="13">
        <f>E17/I17</f>
        <v>0.74769291923537518</v>
      </c>
      <c r="K17" s="38"/>
      <c r="L17" s="28">
        <f>YEAR(D22)</f>
        <v>2023</v>
      </c>
      <c r="M17" s="28">
        <v>2024</v>
      </c>
      <c r="O17" s="29">
        <f t="shared" si="0"/>
        <v>2015</v>
      </c>
      <c r="P17" s="30">
        <f>'Proventos (port)'!P17</f>
        <v>0</v>
      </c>
      <c r="Q17" s="31">
        <f>'Proventos (port)'!Q17</f>
        <v>365894.15567999997</v>
      </c>
      <c r="R17" s="30">
        <f>'Proventos (port)'!R17</f>
        <v>365894.15567999997</v>
      </c>
      <c r="S17" s="32">
        <f>'Proventos (port)'!S17</f>
        <v>2.2689779999999997</v>
      </c>
      <c r="T17" s="32">
        <f>'Proventos (port)'!T17</f>
        <v>2.2689779999999997</v>
      </c>
      <c r="V17" s="29">
        <f>'Proventos (port)'!V17</f>
        <v>2015</v>
      </c>
      <c r="W17" s="33">
        <f>'Proventos (port)'!W17</f>
        <v>0</v>
      </c>
      <c r="X17" s="34">
        <f>'Proventos (port)'!X17</f>
        <v>334865.09512999997</v>
      </c>
      <c r="Y17" s="33">
        <f>'Proventos (port)'!Y17</f>
        <v>334865.09512999997</v>
      </c>
      <c r="Z17" s="32">
        <f>'Proventos (port)'!Z17</f>
        <v>2.0765609999999999</v>
      </c>
      <c r="AA17" s="111">
        <f>'Proventos (port)'!AA17</f>
        <v>271887</v>
      </c>
      <c r="AB17" s="35">
        <f>'Proventos (port)'!AB17</f>
        <v>1.231633344477669</v>
      </c>
    </row>
    <row r="18" spans="1:28" x14ac:dyDescent="0.35">
      <c r="A18" s="21"/>
      <c r="B18" s="39" t="s">
        <v>42</v>
      </c>
      <c r="C18" s="40">
        <v>45273</v>
      </c>
      <c r="D18" s="41">
        <v>45306</v>
      </c>
      <c r="E18" s="42">
        <v>159999.92713</v>
      </c>
      <c r="F18" s="43">
        <v>0.24283500000479599</v>
      </c>
      <c r="G18" s="42"/>
      <c r="H18" s="44"/>
      <c r="I18" s="42"/>
      <c r="J18" s="45"/>
      <c r="K18" s="38"/>
      <c r="L18" s="28"/>
      <c r="M18" s="28"/>
      <c r="O18" s="14">
        <f t="shared" si="0"/>
        <v>2014</v>
      </c>
      <c r="P18" s="15">
        <f>'Proventos (port)'!P18</f>
        <v>231689.82490897595</v>
      </c>
      <c r="Q18" s="16">
        <f>'Proventos (port)'!Q18</f>
        <v>195000.16409352483</v>
      </c>
      <c r="R18" s="15">
        <f>'Proventos (port)'!R18</f>
        <v>426689.98900250078</v>
      </c>
      <c r="S18" s="17">
        <f>'Proventos (port)'!S18</f>
        <v>2.7263120000000001</v>
      </c>
      <c r="T18" s="17">
        <f>'Proventos (port)'!T18</f>
        <v>1.2197100000000001</v>
      </c>
      <c r="V18" s="14">
        <f>'Proventos (port)'!V18</f>
        <v>2014</v>
      </c>
      <c r="W18" s="18">
        <f>'Proventos (port)'!W18</f>
        <v>31689.740538975941</v>
      </c>
      <c r="X18" s="19">
        <f>'Proventos (port)'!X18</f>
        <v>196029.08986352486</v>
      </c>
      <c r="Y18" s="18">
        <f>'Proventos (port)'!Y18</f>
        <v>227718.83040250081</v>
      </c>
      <c r="Z18" s="17">
        <f>'Proventos (port)'!Z18</f>
        <v>1.4121270000000001</v>
      </c>
      <c r="AA18" s="116">
        <f>'Proventos (port)'!AA18</f>
        <v>248140</v>
      </c>
      <c r="AB18" s="117">
        <f>'Proventos (port)'!AB18</f>
        <v>0.91770303216934312</v>
      </c>
    </row>
    <row r="19" spans="1:28" x14ac:dyDescent="0.35">
      <c r="A19" s="21"/>
      <c r="B19" s="39" t="s">
        <v>42</v>
      </c>
      <c r="C19" s="40">
        <v>45273</v>
      </c>
      <c r="D19" s="41">
        <v>45392</v>
      </c>
      <c r="E19" s="42">
        <v>1292233.5622</v>
      </c>
      <c r="F19" s="43">
        <v>1.961247999994852</v>
      </c>
      <c r="G19" s="42"/>
      <c r="H19" s="44"/>
      <c r="I19" s="42"/>
      <c r="J19" s="45"/>
      <c r="K19" s="38"/>
      <c r="L19" s="28"/>
      <c r="M19" s="28"/>
      <c r="O19" s="29">
        <f t="shared" si="0"/>
        <v>2013</v>
      </c>
      <c r="P19" s="30">
        <f>'Proventos (port)'!P19</f>
        <v>0</v>
      </c>
      <c r="Q19" s="31">
        <f>'Proventos (port)'!Q19</f>
        <v>0</v>
      </c>
      <c r="R19" s="30">
        <f>'Proventos (port)'!R19</f>
        <v>0</v>
      </c>
      <c r="S19" s="32">
        <f>'Proventos (port)'!S19</f>
        <v>0</v>
      </c>
      <c r="T19" s="32">
        <f>'Proventos (port)'!T19</f>
        <v>0</v>
      </c>
      <c r="V19" s="29">
        <f>'Proventos (port)'!V19</f>
        <v>2013</v>
      </c>
      <c r="W19" s="33">
        <f>'Proventos (port)'!W19</f>
        <v>200000.08437</v>
      </c>
      <c r="X19" s="34">
        <f>'Proventos (port)'!X19</f>
        <v>30000.134779999993</v>
      </c>
      <c r="Y19" s="33">
        <f>'Proventos (port)'!Y19</f>
        <v>230000.21914999999</v>
      </c>
      <c r="Z19" s="32">
        <f>'Proventos (port)'!Z19</f>
        <v>1.506602</v>
      </c>
      <c r="AA19" s="111">
        <f>'Proventos (port)'!AA19</f>
        <v>-145400</v>
      </c>
      <c r="AB19" s="35" t="str">
        <f>'Proventos (port)'!AB19</f>
        <v>N/A</v>
      </c>
    </row>
    <row r="20" spans="1:28" s="38" customFormat="1" ht="16" thickBot="1" x14ac:dyDescent="0.4">
      <c r="A20" s="21" t="str">
        <f>LEFT(B25,9)</f>
        <v>IOE</v>
      </c>
      <c r="B20" s="39"/>
      <c r="C20" s="40"/>
      <c r="D20" s="41"/>
      <c r="E20" s="42"/>
      <c r="F20" s="43"/>
      <c r="G20" s="42"/>
      <c r="H20" s="44"/>
      <c r="I20" s="42"/>
      <c r="J20" s="45"/>
      <c r="L20" s="28"/>
      <c r="M20" s="28"/>
      <c r="O20" s="14">
        <f t="shared" si="0"/>
        <v>2012</v>
      </c>
      <c r="P20" s="15">
        <f>'Proventos (port)'!P20</f>
        <v>128108.0895128282</v>
      </c>
      <c r="Q20" s="16">
        <f>'Proventos (port)'!Q20</f>
        <v>348572.76195951999</v>
      </c>
      <c r="R20" s="15">
        <f>'Proventos (port)'!R20</f>
        <v>476680.85147234821</v>
      </c>
      <c r="S20" s="17">
        <f>'Proventos (port)'!S20</f>
        <v>3.122468</v>
      </c>
      <c r="T20" s="17">
        <f>'Proventos (port)'!T20</f>
        <v>2.2833040000000002</v>
      </c>
      <c r="U20" s="7"/>
      <c r="V20" s="14">
        <f>'Proventos (port)'!V20</f>
        <v>2012</v>
      </c>
      <c r="W20" s="18">
        <f>'Proventos (port)'!W20</f>
        <v>63949.929569099404</v>
      </c>
      <c r="X20" s="19">
        <f>'Proventos (port)'!X20</f>
        <v>178730.81712095172</v>
      </c>
      <c r="Y20" s="18">
        <f>'Proventos (port)'!Y20</f>
        <v>242680.74669005111</v>
      </c>
      <c r="Z20" s="17">
        <f>'Proventos (port)'!Z20</f>
        <v>1.5896650000000001</v>
      </c>
      <c r="AA20" s="116">
        <f>'Proventos (port)'!AA20</f>
        <v>1004000</v>
      </c>
      <c r="AB20" s="117">
        <f>'Proventos (port)'!AB20</f>
        <v>0.24171389112554892</v>
      </c>
    </row>
    <row r="21" spans="1:28" s="38" customFormat="1" ht="16" thickBot="1" x14ac:dyDescent="0.4">
      <c r="A21" s="21" t="str">
        <f>LEFT(B26,9)</f>
        <v>Dividends</v>
      </c>
      <c r="B21" s="8">
        <v>2022</v>
      </c>
      <c r="C21" s="9"/>
      <c r="D21" s="9"/>
      <c r="E21" s="10">
        <f>SUM(E22:E23)</f>
        <v>700000.25769999996</v>
      </c>
      <c r="F21" s="11">
        <f>SUM(F22:F23)</f>
        <v>1.0624039999999999</v>
      </c>
      <c r="G21" s="10">
        <v>2262244.9482499068</v>
      </c>
      <c r="H21" s="12">
        <v>0.30942726084614602</v>
      </c>
      <c r="I21" s="10">
        <v>936887.00000000035</v>
      </c>
      <c r="J21" s="13">
        <v>0.74715548161090894</v>
      </c>
      <c r="L21" s="28"/>
      <c r="M21" s="28"/>
      <c r="O21" s="29">
        <f t="shared" si="0"/>
        <v>2011</v>
      </c>
      <c r="P21" s="30">
        <f>'Proventos (port)'!P21</f>
        <v>253409.09627822755</v>
      </c>
      <c r="Q21" s="31">
        <f>'Proventos (port)'!Q21</f>
        <v>643390.94117201155</v>
      </c>
      <c r="R21" s="30">
        <f>'Proventos (port)'!R21</f>
        <v>896800.03745023906</v>
      </c>
      <c r="S21" s="32">
        <f>'Proventos (port)'!S21</f>
        <v>5.9066460000000003</v>
      </c>
      <c r="T21" s="32">
        <f>'Proventos (port)'!T21</f>
        <v>4.237603</v>
      </c>
      <c r="U21" s="7"/>
      <c r="V21" s="29">
        <f>'Proventos (port)'!V21</f>
        <v>2011</v>
      </c>
      <c r="W21" s="33">
        <f>'Proventos (port)'!W21</f>
        <v>188847.40611372879</v>
      </c>
      <c r="X21" s="34">
        <f>'Proventos (port)'!X21</f>
        <v>503138.44003945123</v>
      </c>
      <c r="Y21" s="33">
        <f>'Proventos (port)'!Y21</f>
        <v>691985.84615318</v>
      </c>
      <c r="Z21" s="32">
        <f>'Proventos (port)'!Z21</f>
        <v>4.5492609999999996</v>
      </c>
      <c r="AA21" s="111">
        <f>'Proventos (port)'!AA21</f>
        <v>805700</v>
      </c>
      <c r="AB21" s="35">
        <f>'Proventos (port)'!AB21</f>
        <v>0.85886290946156141</v>
      </c>
    </row>
    <row r="22" spans="1:28" s="38" customFormat="1" x14ac:dyDescent="0.35">
      <c r="A22" s="21" t="str">
        <f>LEFT(B27,9)</f>
        <v>IOE</v>
      </c>
      <c r="B22" s="22" t="s">
        <v>42</v>
      </c>
      <c r="C22" s="23">
        <v>44922</v>
      </c>
      <c r="D22" s="23">
        <v>45027</v>
      </c>
      <c r="E22" s="24">
        <v>700000.25769999996</v>
      </c>
      <c r="F22" s="25">
        <v>1.0624039999999999</v>
      </c>
      <c r="G22" s="24"/>
      <c r="H22" s="26"/>
      <c r="I22" s="24"/>
      <c r="J22" s="27"/>
      <c r="L22" s="28">
        <v>2023</v>
      </c>
      <c r="M22" s="28">
        <v>2022</v>
      </c>
      <c r="O22" s="14">
        <f t="shared" si="0"/>
        <v>2010</v>
      </c>
      <c r="P22" s="15">
        <f>'Proventos (port)'!P22</f>
        <v>188565.86358539597</v>
      </c>
      <c r="Q22" s="16">
        <f>'Proventos (port)'!Q22</f>
        <v>578234.25287254399</v>
      </c>
      <c r="R22" s="15">
        <f>'Proventos (port)'!R22</f>
        <v>766800.11645793996</v>
      </c>
      <c r="S22" s="17">
        <f>'Proventos (port)'!S22</f>
        <v>5.0685079999999996</v>
      </c>
      <c r="T22" s="17">
        <f>'Proventos (port)'!T22</f>
        <v>3.823372</v>
      </c>
      <c r="U22" s="7"/>
      <c r="V22" s="14">
        <f>'Proventos (port)'!V22</f>
        <v>2010</v>
      </c>
      <c r="W22" s="18">
        <f>'Proventos (port)'!W22</f>
        <v>255365.56452052799</v>
      </c>
      <c r="X22" s="19">
        <f>'Proventos (port)'!X22</f>
        <v>520046.14062267658</v>
      </c>
      <c r="Y22" s="18">
        <f>'Proventos (port)'!Y22</f>
        <v>775411.70514320454</v>
      </c>
      <c r="Z22" s="17">
        <f>'Proventos (port)'!Z22</f>
        <v>5.1071389999999992</v>
      </c>
      <c r="AA22" s="116">
        <f>'Proventos (port)'!AA22</f>
        <v>812171</v>
      </c>
      <c r="AB22" s="117">
        <f>'Proventos (port)'!AB22</f>
        <v>0.95473946390994568</v>
      </c>
    </row>
    <row r="23" spans="1:28" s="38" customFormat="1" ht="16" thickBot="1" x14ac:dyDescent="0.4">
      <c r="A23" s="21" t="str">
        <f>LEFT(B28,9)</f>
        <v>Dividends</v>
      </c>
      <c r="B23" s="22"/>
      <c r="C23" s="23"/>
      <c r="D23" s="23"/>
      <c r="E23" s="24"/>
      <c r="F23" s="25"/>
      <c r="G23" s="24"/>
      <c r="H23" s="26"/>
      <c r="I23" s="24"/>
      <c r="J23" s="27"/>
      <c r="K23" s="7"/>
      <c r="L23" s="28"/>
      <c r="M23" s="28"/>
      <c r="O23" s="29">
        <f t="shared" si="0"/>
        <v>2009</v>
      </c>
      <c r="P23" s="30">
        <f>'Proventos (port)'!P23</f>
        <v>250610.21806138218</v>
      </c>
      <c r="Q23" s="31">
        <f>'Proventos (port)'!Q23</f>
        <v>392677.45157172135</v>
      </c>
      <c r="R23" s="30">
        <f>'Proventos (port)'!R23</f>
        <v>643287.66963310353</v>
      </c>
      <c r="S23" s="32">
        <f>'Proventos (port)'!S23</f>
        <v>4.2952880000000002</v>
      </c>
      <c r="T23" s="32">
        <f>'Proventos (port)'!T23</f>
        <v>2.6240790000000001</v>
      </c>
      <c r="U23" s="7"/>
      <c r="V23" s="29">
        <f>'Proventos (port)'!V23</f>
        <v>2009</v>
      </c>
      <c r="W23" s="33">
        <f>'Proventos (port)'!W23</f>
        <v>312530.36723447766</v>
      </c>
      <c r="X23" s="34">
        <f>'Proventos (port)'!X23</f>
        <v>532569.28258487326</v>
      </c>
      <c r="Y23" s="33">
        <f>'Proventos (port)'!Y23</f>
        <v>845099.64981935092</v>
      </c>
      <c r="Z23" s="32">
        <f>'Proventos (port)'!Z23</f>
        <v>5.6169479999999989</v>
      </c>
      <c r="AA23" s="111">
        <f>'Proventos (port)'!AA23</f>
        <v>861975</v>
      </c>
      <c r="AB23" s="35">
        <f>'Proventos (port)'!AB23</f>
        <v>0.98042245983856946</v>
      </c>
    </row>
    <row r="24" spans="1:28" s="38" customFormat="1" ht="16" thickBot="1" x14ac:dyDescent="0.4">
      <c r="A24" s="21" t="str">
        <f>LEFT(B29,9)</f>
        <v>Dividends</v>
      </c>
      <c r="B24" s="8">
        <v>2021</v>
      </c>
      <c r="C24" s="9"/>
      <c r="D24" s="9"/>
      <c r="E24" s="10">
        <f>SUM(E25:E29)</f>
        <v>1840191.8853199999</v>
      </c>
      <c r="F24" s="11">
        <f>SUM(F25:F29)</f>
        <v>2.7928950000000001</v>
      </c>
      <c r="G24" s="10">
        <v>3018599.1695399997</v>
      </c>
      <c r="H24" s="12">
        <f>E24/G24</f>
        <v>0.60961783329464847</v>
      </c>
      <c r="I24" s="10">
        <v>877567</v>
      </c>
      <c r="J24" s="13">
        <f>E24/I24</f>
        <v>2.0969246625271913</v>
      </c>
      <c r="K24" s="7"/>
      <c r="L24" s="28"/>
      <c r="M24" s="28"/>
      <c r="O24" s="14">
        <f t="shared" si="0"/>
        <v>2008</v>
      </c>
      <c r="P24" s="15">
        <f>'Proventos (port)'!P24</f>
        <v>279020.74683174083</v>
      </c>
      <c r="Q24" s="16">
        <f>'Proventos (port)'!Q24</f>
        <v>436612.150475526</v>
      </c>
      <c r="R24" s="15">
        <f>'Proventos (port)'!R24</f>
        <v>715632.89730726683</v>
      </c>
      <c r="S24" s="17">
        <f>'Proventos (port)'!S24</f>
        <v>4.7937349999999999</v>
      </c>
      <c r="T24" s="17">
        <f>'Proventos (port)'!T24</f>
        <v>2.9246880000000002</v>
      </c>
      <c r="U24" s="7"/>
      <c r="V24" s="14">
        <f>'Proventos (port)'!V24</f>
        <v>2008</v>
      </c>
      <c r="W24" s="18">
        <f>'Proventos (port)'!W24</f>
        <v>239898.21484661315</v>
      </c>
      <c r="X24" s="19">
        <f>'Proventos (port)'!X24</f>
        <v>495002.75264445657</v>
      </c>
      <c r="Y24" s="18">
        <f>'Proventos (port)'!Y24</f>
        <v>734900.96749106969</v>
      </c>
      <c r="Z24" s="17">
        <f>'Proventos (port)'!Z24</f>
        <v>4.9228040000000002</v>
      </c>
      <c r="AA24" s="116">
        <f>'Proventos (port)'!AA24</f>
        <v>827065</v>
      </c>
      <c r="AB24" s="117">
        <f>'Proventos (port)'!AB24</f>
        <v>0.88856494651698437</v>
      </c>
    </row>
    <row r="25" spans="1:28" s="38" customFormat="1" x14ac:dyDescent="0.35">
      <c r="A25" s="21"/>
      <c r="B25" s="39" t="s">
        <v>42</v>
      </c>
      <c r="C25" s="40">
        <v>44553</v>
      </c>
      <c r="D25" s="41">
        <v>44579</v>
      </c>
      <c r="E25" s="42">
        <v>114577.17103</v>
      </c>
      <c r="F25" s="43">
        <v>0.173896</v>
      </c>
      <c r="G25" s="42"/>
      <c r="H25" s="44"/>
      <c r="I25" s="42"/>
      <c r="J25" s="45"/>
      <c r="K25" s="7"/>
      <c r="L25" s="28">
        <f>'Proventos (port)'!L25</f>
        <v>2022</v>
      </c>
      <c r="M25" s="28">
        <f>'Proventos (port)'!M25</f>
        <v>2021</v>
      </c>
      <c r="O25" s="29">
        <f t="shared" si="0"/>
        <v>2007</v>
      </c>
      <c r="P25" s="30">
        <f>'Proventos (port)'!P25</f>
        <v>226791.88448287919</v>
      </c>
      <c r="Q25" s="31">
        <f>'Proventos (port)'!Q25</f>
        <v>559356.99339199637</v>
      </c>
      <c r="R25" s="30">
        <f>'Proventos (port)'!R25</f>
        <v>786148.87787487556</v>
      </c>
      <c r="S25" s="32">
        <f>'Proventos (port)'!S25</f>
        <v>5.2660929999999997</v>
      </c>
      <c r="T25" s="32">
        <f>'Proventos (port)'!T25</f>
        <v>3.7469060000000001</v>
      </c>
      <c r="U25" s="7"/>
      <c r="V25" s="29">
        <f>'Proventos (port)'!V25</f>
        <v>2007</v>
      </c>
      <c r="W25" s="33">
        <f>'Proventos (port)'!W25</f>
        <v>238737.37441436955</v>
      </c>
      <c r="X25" s="34">
        <f>'Proventos (port)'!X25</f>
        <v>668758.59059417085</v>
      </c>
      <c r="Y25" s="33">
        <f>'Proventos (port)'!Y25</f>
        <v>907495.96500854043</v>
      </c>
      <c r="Z25" s="32">
        <f>'Proventos (port)'!Z25</f>
        <v>6.0789480000000005</v>
      </c>
      <c r="AA25" s="111">
        <f>'Proventos (port)'!AA25</f>
        <v>855483</v>
      </c>
      <c r="AB25" s="35">
        <f>'Proventos (port)'!AB25</f>
        <v>1.0607995308013607</v>
      </c>
    </row>
    <row r="26" spans="1:28" s="38" customFormat="1" x14ac:dyDescent="0.35">
      <c r="A26" s="21" t="str">
        <f t="shared" ref="A26:A32" si="1">LEFT(B31,9)</f>
        <v>2020</v>
      </c>
      <c r="B26" s="39" t="s">
        <v>43</v>
      </c>
      <c r="C26" s="40">
        <v>44503</v>
      </c>
      <c r="D26" s="41">
        <v>44516</v>
      </c>
      <c r="E26" s="42">
        <v>348803.59677</v>
      </c>
      <c r="F26" s="43">
        <v>0.52938600000000002</v>
      </c>
      <c r="G26" s="42"/>
      <c r="H26" s="44"/>
      <c r="I26" s="42"/>
      <c r="J26" s="45"/>
      <c r="L26" s="28">
        <f>'Proventos (port)'!L26</f>
        <v>2021</v>
      </c>
      <c r="M26" s="28">
        <f>'Proventos (port)'!M26</f>
        <v>2021</v>
      </c>
      <c r="O26" s="14">
        <f t="shared" si="0"/>
        <v>2006</v>
      </c>
      <c r="P26" s="15">
        <f>'Proventos (port)'!P26</f>
        <v>89999.91691203705</v>
      </c>
      <c r="Q26" s="16">
        <f>'Proventos (port)'!Q26</f>
        <v>97299.955124062821</v>
      </c>
      <c r="R26" s="15">
        <f>'Proventos (port)'!R26</f>
        <v>187299.87203609987</v>
      </c>
      <c r="S26" s="17">
        <f>'Proventos (port)'!S26</f>
        <v>1.2546460000000002</v>
      </c>
      <c r="T26" s="17">
        <f>'Proventos (port)'!T26</f>
        <v>0.65177300000000005</v>
      </c>
      <c r="U26" s="7"/>
      <c r="V26" s="14">
        <f>'Proventos (port)'!V26</f>
        <v>2006</v>
      </c>
      <c r="W26" s="18">
        <f>'Proventos (port)'!W26</f>
        <v>27177.042053637368</v>
      </c>
      <c r="X26" s="19">
        <f>'Proventos (port)'!X26</f>
        <v>157898.4829608023</v>
      </c>
      <c r="Y26" s="18">
        <f>'Proventos (port)'!Y26</f>
        <v>185075.52501443966</v>
      </c>
      <c r="Z26" s="17">
        <f>'Proventos (port)'!Z26</f>
        <v>1.239746</v>
      </c>
      <c r="AA26" s="116">
        <f>'Proventos (port)'!AA26</f>
        <v>117752</v>
      </c>
      <c r="AB26" s="117">
        <f>'Proventos (port)'!AB26</f>
        <v>1.5717399705689896</v>
      </c>
    </row>
    <row r="27" spans="1:28" s="38" customFormat="1" x14ac:dyDescent="0.35">
      <c r="A27" s="21" t="str">
        <f t="shared" si="1"/>
        <v>Dividends</v>
      </c>
      <c r="B27" s="39" t="s">
        <v>42</v>
      </c>
      <c r="C27" s="40">
        <v>44504</v>
      </c>
      <c r="D27" s="41">
        <v>44517</v>
      </c>
      <c r="E27" s="48">
        <v>514531.85533999995</v>
      </c>
      <c r="F27" s="49">
        <v>0.78091500000000003</v>
      </c>
      <c r="G27" s="48"/>
      <c r="H27" s="44"/>
      <c r="I27" s="48"/>
      <c r="J27" s="45"/>
      <c r="L27" s="28">
        <f>'Proventos (port)'!L27</f>
        <v>2021</v>
      </c>
      <c r="M27" s="28">
        <f>'Proventos (port)'!M27</f>
        <v>2021</v>
      </c>
      <c r="O27" s="29">
        <f t="shared" si="0"/>
        <v>2005</v>
      </c>
      <c r="P27" s="30">
        <f>'Proventos (port)'!P27</f>
        <v>224353.85086210462</v>
      </c>
      <c r="Q27" s="31">
        <f>'Proventos (port)'!Q27</f>
        <v>0</v>
      </c>
      <c r="R27" s="30">
        <f>'Proventos (port)'!R27</f>
        <v>224353.85086210462</v>
      </c>
      <c r="S27" s="32">
        <f>'Proventos (port)'!S27</f>
        <v>1.5028556000000002</v>
      </c>
      <c r="T27" s="32">
        <f>'Proventos (port)'!T27</f>
        <v>0</v>
      </c>
      <c r="U27" s="7"/>
      <c r="V27" s="29">
        <f>'Proventos (port)'!V27</f>
        <v>2005</v>
      </c>
      <c r="W27" s="33">
        <f>'Proventos (port)'!W27</f>
        <v>239353.77232392895</v>
      </c>
      <c r="X27" s="34">
        <f>'Proventos (port)'!X27</f>
        <v>0</v>
      </c>
      <c r="Y27" s="33">
        <f>'Proventos (port)'!Y27</f>
        <v>239353.77232392895</v>
      </c>
      <c r="Z27" s="32">
        <f>'Proventos (port)'!Z27</f>
        <v>1.603334</v>
      </c>
      <c r="AA27" s="111">
        <f>'Proventos (port)'!AA27</f>
        <v>468277</v>
      </c>
      <c r="AB27" s="35">
        <f>'Proventos (port)'!AB27</f>
        <v>0.51113715242031732</v>
      </c>
    </row>
    <row r="28" spans="1:28" s="38" customFormat="1" x14ac:dyDescent="0.35">
      <c r="A28" s="21" t="str">
        <f t="shared" si="1"/>
        <v>Dividends</v>
      </c>
      <c r="B28" s="39" t="s">
        <v>43</v>
      </c>
      <c r="C28" s="40">
        <v>44384</v>
      </c>
      <c r="D28" s="41">
        <v>44392</v>
      </c>
      <c r="E28" s="48">
        <v>331116.53336</v>
      </c>
      <c r="F28" s="49">
        <v>0.50254200000000004</v>
      </c>
      <c r="G28" s="48"/>
      <c r="H28" s="44"/>
      <c r="I28" s="48"/>
      <c r="J28" s="45"/>
      <c r="L28" s="28">
        <f>'Proventos (port)'!L28</f>
        <v>2021</v>
      </c>
      <c r="M28" s="28">
        <f>'Proventos (port)'!M28</f>
        <v>2021</v>
      </c>
      <c r="O28" s="14">
        <f t="shared" si="0"/>
        <v>2004</v>
      </c>
      <c r="P28" s="15">
        <f>'Proventos (port)'!P28</f>
        <v>147248.99613225434</v>
      </c>
      <c r="Q28" s="16">
        <f>'Proventos (port)'!Q28</f>
        <v>0</v>
      </c>
      <c r="R28" s="15">
        <f>'Proventos (port)'!R28</f>
        <v>147248.99613225434</v>
      </c>
      <c r="S28" s="17">
        <f>'Proventos (port)'!S28</f>
        <v>0.98636140000000005</v>
      </c>
      <c r="T28" s="17">
        <f>'Proventos (port)'!T28</f>
        <v>0</v>
      </c>
      <c r="U28" s="7"/>
      <c r="V28" s="14">
        <f>'Proventos (port)'!V28</f>
        <v>2004</v>
      </c>
      <c r="W28" s="18">
        <f>'Proventos (port)'!W28</f>
        <v>74999.995450212722</v>
      </c>
      <c r="X28" s="19">
        <f>'Proventos (port)'!X28</f>
        <v>0</v>
      </c>
      <c r="Y28" s="18">
        <f>'Proventos (port)'!Y28</f>
        <v>74999.995450212722</v>
      </c>
      <c r="Z28" s="17">
        <f>'Proventos (port)'!Z28</f>
        <v>0.50239460000000002</v>
      </c>
      <c r="AA28" s="116">
        <f>'Proventos (port)'!AA28</f>
        <v>348778</v>
      </c>
      <c r="AB28" s="117">
        <f>'Proventos (port)'!AB28</f>
        <v>0.21503648581680243</v>
      </c>
    </row>
    <row r="29" spans="1:28" x14ac:dyDescent="0.35">
      <c r="A29" s="21" t="str">
        <f t="shared" si="1"/>
        <v>IOE</v>
      </c>
      <c r="B29" s="39" t="s">
        <v>44</v>
      </c>
      <c r="C29" s="50">
        <v>44253</v>
      </c>
      <c r="D29" s="50">
        <v>44337</v>
      </c>
      <c r="E29" s="48">
        <v>531162.72881999996</v>
      </c>
      <c r="F29" s="49">
        <v>0.80615599999999998</v>
      </c>
      <c r="G29" s="48"/>
      <c r="H29" s="44"/>
      <c r="I29" s="48"/>
      <c r="J29" s="45"/>
      <c r="K29" s="38"/>
      <c r="L29" s="28">
        <f>'Proventos (port)'!L29</f>
        <v>2021</v>
      </c>
      <c r="M29" s="28">
        <f>'Proventos (port)'!M29</f>
        <v>2021</v>
      </c>
      <c r="O29" s="29">
        <f t="shared" si="0"/>
        <v>2003</v>
      </c>
      <c r="P29" s="30">
        <f>'Proventos (port)'!P29</f>
        <v>49999.88749111614</v>
      </c>
      <c r="Q29" s="31">
        <f>'Proventos (port)'!Q29</f>
        <v>12782.068339187106</v>
      </c>
      <c r="R29" s="30">
        <f>'Proventos (port)'!R29</f>
        <v>62781.955830303246</v>
      </c>
      <c r="S29" s="32">
        <f>'Proventos (port)'!S29</f>
        <v>0.42055089999999995</v>
      </c>
      <c r="T29" s="32">
        <f>'Proventos (port)'!T29</f>
        <v>8.5621900000000001E-2</v>
      </c>
      <c r="V29" s="29">
        <f>'Proventos (port)'!V29</f>
        <v>2003</v>
      </c>
      <c r="W29" s="33">
        <f>'Proventos (port)'!W29</f>
        <v>147248.99613225434</v>
      </c>
      <c r="X29" s="34">
        <f>'Proventos (port)'!X29</f>
        <v>0</v>
      </c>
      <c r="Y29" s="33">
        <f>'Proventos (port)'!Y29</f>
        <v>147248.99613225434</v>
      </c>
      <c r="Z29" s="32">
        <f>'Proventos (port)'!Z29</f>
        <v>0.98636140000000005</v>
      </c>
      <c r="AA29" s="111">
        <f>'Proventos (port)'!AA29</f>
        <v>222376</v>
      </c>
      <c r="AB29" s="35">
        <f>'Proventos (port)'!AB29</f>
        <v>0.66216226630686015</v>
      </c>
    </row>
    <row r="30" spans="1:28" ht="16" thickBot="1" x14ac:dyDescent="0.4">
      <c r="A30" s="21" t="str">
        <f t="shared" si="1"/>
        <v>Dividends</v>
      </c>
      <c r="B30" s="39"/>
      <c r="C30" s="44"/>
      <c r="D30" s="44"/>
      <c r="E30" s="42"/>
      <c r="F30" s="43"/>
      <c r="G30" s="42"/>
      <c r="H30" s="44"/>
      <c r="I30" s="42"/>
      <c r="J30" s="45"/>
      <c r="K30" s="38"/>
      <c r="L30" s="28"/>
      <c r="M30" s="28"/>
      <c r="O30" s="14">
        <f t="shared" si="0"/>
        <v>2002</v>
      </c>
      <c r="P30" s="15">
        <f>'Proventos (port)'!P30</f>
        <v>86352.883506724407</v>
      </c>
      <c r="Q30" s="16">
        <f>'Proventos (port)'!Q30</f>
        <v>0</v>
      </c>
      <c r="R30" s="15">
        <f>'Proventos (port)'!R30</f>
        <v>86352.883506724407</v>
      </c>
      <c r="S30" s="17">
        <f>'Proventos (port)'!S30</f>
        <v>0.57844300000000004</v>
      </c>
      <c r="T30" s="17">
        <f>'Proventos (port)'!T30</f>
        <v>0</v>
      </c>
      <c r="V30" s="14">
        <f>'Proventos (port)'!V30</f>
        <v>2002</v>
      </c>
      <c r="W30" s="18">
        <f>'Proventos (port)'!W30</f>
        <v>136352.77099784056</v>
      </c>
      <c r="X30" s="19">
        <f>'Proventos (port)'!X30</f>
        <v>12782.06833918707</v>
      </c>
      <c r="Y30" s="18">
        <f>'Proventos (port)'!Y30</f>
        <v>149134.83933702763</v>
      </c>
      <c r="Z30" s="17">
        <f>'Proventos (port)'!Z30</f>
        <v>0.99899389999999988</v>
      </c>
      <c r="AA30" s="116">
        <f>'Proventos (port)'!AA30</f>
        <v>168137</v>
      </c>
      <c r="AB30" s="117">
        <f>'Proventos (port)'!AB30</f>
        <v>0.88698406262171703</v>
      </c>
    </row>
    <row r="31" spans="1:28" ht="16" thickBot="1" x14ac:dyDescent="0.4">
      <c r="A31" s="21" t="str">
        <f t="shared" si="1"/>
        <v>Dividends</v>
      </c>
      <c r="B31" s="8">
        <v>2020</v>
      </c>
      <c r="C31" s="9"/>
      <c r="D31" s="9"/>
      <c r="E31" s="10">
        <f>SUM(E32:E37)</f>
        <v>1670629.4192249682</v>
      </c>
      <c r="F31" s="11">
        <f>SUM(F32:F37)</f>
        <v>2.5355469999999998</v>
      </c>
      <c r="G31" s="10">
        <v>3361503</v>
      </c>
      <c r="H31" s="12">
        <f>E31/G31</f>
        <v>0.49698882292384333</v>
      </c>
      <c r="I31" s="10">
        <v>2002390</v>
      </c>
      <c r="J31" s="13">
        <f>E31/I31</f>
        <v>0.83431769996103067</v>
      </c>
      <c r="K31" s="38"/>
      <c r="L31" s="28"/>
      <c r="M31" s="28"/>
      <c r="O31" s="51" t="s">
        <v>23</v>
      </c>
      <c r="P31" s="52">
        <f>SUM(P7:P30)</f>
        <v>8817638.251445666</v>
      </c>
      <c r="Q31" s="52">
        <f>SUM(Q7:Q30)</f>
        <v>8444808.7529625595</v>
      </c>
      <c r="R31" s="52">
        <f>SUM(R7:R30)</f>
        <v>17262447.004408225</v>
      </c>
      <c r="S31" s="88">
        <f>SUM(S7:S30)</f>
        <v>68.439300900001399</v>
      </c>
      <c r="T31" s="88">
        <f>SUM(T7:T30)</f>
        <v>41.308711900000006</v>
      </c>
      <c r="V31" s="54" t="s">
        <v>23</v>
      </c>
      <c r="W31" s="55">
        <f>SUM(W7:W30)</f>
        <v>8817638.2514456678</v>
      </c>
      <c r="X31" s="55">
        <f>SUM(X7:X30)</f>
        <v>8444808.7529625595</v>
      </c>
      <c r="Y31" s="55">
        <f>SUM(Y7:Y30)</f>
        <v>17262447.004408225</v>
      </c>
      <c r="Z31" s="119">
        <f>SUM(Z7:Z30)</f>
        <v>68.439300900001413</v>
      </c>
      <c r="AA31" s="55">
        <f>SUM(AA7:AA30)</f>
        <v>18637435.934210017</v>
      </c>
      <c r="AB31" s="56">
        <f>IFERROR(IF(Y31/AA31&lt;0,"N/A",Y31/AA31),"N/A")</f>
        <v>0.92622435110411694</v>
      </c>
    </row>
    <row r="32" spans="1:28" x14ac:dyDescent="0.35">
      <c r="A32" s="21" t="str">
        <f t="shared" si="1"/>
        <v>IOE</v>
      </c>
      <c r="B32" s="22" t="s">
        <v>45</v>
      </c>
      <c r="C32" s="23">
        <v>44286</v>
      </c>
      <c r="D32" s="23">
        <v>44337</v>
      </c>
      <c r="E32" s="24">
        <v>524449.36683496798</v>
      </c>
      <c r="F32" s="25">
        <v>0.79596699999999998</v>
      </c>
      <c r="G32" s="24"/>
      <c r="H32" s="26"/>
      <c r="I32" s="24"/>
      <c r="J32" s="27"/>
      <c r="K32" s="38"/>
      <c r="L32" s="28">
        <f>'Proventos (port)'!L32</f>
        <v>2021</v>
      </c>
      <c r="M32" s="28">
        <f>'Proventos (port)'!M32</f>
        <v>2020</v>
      </c>
      <c r="O32" s="58"/>
      <c r="P32" s="58"/>
      <c r="Q32" s="58"/>
      <c r="R32" s="59">
        <f>R31-SUM($E17,$E21,$E24,$E31,$E39,$E45,$E50,$E55,$E59,$E63,$E68,$E72,$E78,$E86,$E97,$E109,$E120,$E129,$E134,$E139,$E142,$E145,E12,E7)</f>
        <v>0</v>
      </c>
      <c r="S32" s="89">
        <f>S31-SUM($F17,$F21,$F24,$F31,$F39,$F45,$F50,$F55,$F59,$F63,$F68,$F72,$F78,$F86,$F97,$F109,$F120,$F129,$F134,$F139,$F142,$F145,F12,F7)</f>
        <v>0</v>
      </c>
      <c r="T32" s="59"/>
      <c r="V32" s="58"/>
      <c r="W32" s="58"/>
      <c r="X32" s="58"/>
      <c r="Y32" s="59">
        <f>Y31-SUM($E17,$E21,$E24,$E31,$E39,$E45,$E50,$E55,$E59,$E63,$E68,$E72,$E78,$E86,$E97,$E109,$E120,$E129,$E134,$E139,$E142,$E145,E12,E7)</f>
        <v>0</v>
      </c>
      <c r="Z32" s="59"/>
      <c r="AA32" s="60"/>
    </row>
    <row r="33" spans="1:28" s="38" customFormat="1" x14ac:dyDescent="0.35">
      <c r="A33" s="21"/>
      <c r="B33" s="22" t="s">
        <v>43</v>
      </c>
      <c r="C33" s="23">
        <v>44182</v>
      </c>
      <c r="D33" s="23">
        <v>44214</v>
      </c>
      <c r="E33" s="24">
        <v>115999.70009</v>
      </c>
      <c r="F33" s="25">
        <v>0.17605499999999999</v>
      </c>
      <c r="G33" s="24"/>
      <c r="H33" s="26"/>
      <c r="I33" s="24"/>
      <c r="J33" s="27"/>
      <c r="L33" s="28">
        <f>'Proventos (port)'!L33</f>
        <v>2021</v>
      </c>
      <c r="M33" s="28">
        <f>'Proventos (port)'!M33</f>
        <v>2020</v>
      </c>
    </row>
    <row r="34" spans="1:28" s="38" customFormat="1" x14ac:dyDescent="0.35">
      <c r="A34" s="21" t="str">
        <f>LEFT(B39,9)</f>
        <v>2019</v>
      </c>
      <c r="B34" s="22" t="s">
        <v>42</v>
      </c>
      <c r="C34" s="23">
        <v>44182</v>
      </c>
      <c r="D34" s="23">
        <v>44214</v>
      </c>
      <c r="E34" s="24">
        <v>435847.35230000003</v>
      </c>
      <c r="F34" s="25">
        <v>0.66149400000000003</v>
      </c>
      <c r="G34" s="24"/>
      <c r="H34" s="26"/>
      <c r="I34" s="24"/>
      <c r="J34" s="27"/>
      <c r="L34" s="28">
        <f>'Proventos (port)'!L34</f>
        <v>2021</v>
      </c>
      <c r="M34" s="28">
        <f>'Proventos (port)'!M34</f>
        <v>2020</v>
      </c>
    </row>
    <row r="35" spans="1:28" s="38" customFormat="1" x14ac:dyDescent="0.35">
      <c r="A35" s="21" t="str">
        <f>LEFT(B40,9)</f>
        <v>IOE</v>
      </c>
      <c r="B35" s="22" t="s">
        <v>43</v>
      </c>
      <c r="C35" s="23">
        <v>44140</v>
      </c>
      <c r="D35" s="23">
        <v>44148</v>
      </c>
      <c r="E35" s="24">
        <v>344000</v>
      </c>
      <c r="F35" s="25">
        <v>0.52209499999999998</v>
      </c>
      <c r="G35" s="24"/>
      <c r="H35" s="26"/>
      <c r="I35" s="24"/>
      <c r="J35" s="27"/>
      <c r="K35" s="7"/>
      <c r="L35" s="28">
        <f>'Proventos (port)'!L35</f>
        <v>2020</v>
      </c>
      <c r="M35" s="28">
        <f>'Proventos (port)'!M35</f>
        <v>2020</v>
      </c>
      <c r="U35" s="120"/>
      <c r="V35" s="121"/>
      <c r="W35" s="121"/>
      <c r="X35" s="121"/>
      <c r="Y35" s="121"/>
      <c r="Z35" s="121"/>
      <c r="AA35" s="121"/>
      <c r="AB35" s="121"/>
    </row>
    <row r="36" spans="1:28" s="38" customFormat="1" x14ac:dyDescent="0.35">
      <c r="A36" s="21" t="str">
        <f>LEFT(B41,9)</f>
        <v>Dividends</v>
      </c>
      <c r="B36" s="22" t="s">
        <v>43</v>
      </c>
      <c r="C36" s="23">
        <v>44019</v>
      </c>
      <c r="D36" s="23">
        <v>44028</v>
      </c>
      <c r="E36" s="24">
        <v>100000</v>
      </c>
      <c r="F36" s="25">
        <v>0.15177199999999999</v>
      </c>
      <c r="G36" s="24"/>
      <c r="H36" s="26"/>
      <c r="I36" s="24"/>
      <c r="J36" s="27"/>
      <c r="K36" s="7"/>
      <c r="L36" s="28">
        <f>'Proventos (port)'!L36</f>
        <v>2020</v>
      </c>
      <c r="M36" s="28">
        <f>'Proventos (port)'!M36</f>
        <v>2020</v>
      </c>
    </row>
    <row r="37" spans="1:28" s="38" customFormat="1" x14ac:dyDescent="0.35">
      <c r="A37" s="21" t="str">
        <f>LEFT(B42,9)</f>
        <v>IOE</v>
      </c>
      <c r="B37" s="22" t="s">
        <v>42</v>
      </c>
      <c r="C37" s="23">
        <v>43938</v>
      </c>
      <c r="D37" s="23">
        <v>43950</v>
      </c>
      <c r="E37" s="24">
        <v>150333</v>
      </c>
      <c r="F37" s="25">
        <v>0.22816400000000001</v>
      </c>
      <c r="G37" s="24"/>
      <c r="H37" s="26"/>
      <c r="I37" s="24"/>
      <c r="J37" s="27"/>
      <c r="K37" s="7"/>
      <c r="L37" s="28">
        <f>'Proventos (port)'!L37</f>
        <v>2020</v>
      </c>
      <c r="M37" s="28">
        <f>'Proventos (port)'!M37</f>
        <v>2020</v>
      </c>
      <c r="O37" s="58"/>
      <c r="P37" s="58"/>
      <c r="Q37" s="58"/>
      <c r="U37" s="7"/>
      <c r="V37" s="58"/>
      <c r="W37" s="58"/>
      <c r="X37" s="58"/>
      <c r="AA37" s="61"/>
    </row>
    <row r="38" spans="1:28" s="38" customFormat="1" ht="16" thickBot="1" x14ac:dyDescent="0.4">
      <c r="A38" s="21" t="str">
        <f>LEFT(B43,9)</f>
        <v>IOE</v>
      </c>
      <c r="B38" s="22"/>
      <c r="C38" s="23"/>
      <c r="D38" s="23"/>
      <c r="E38" s="24"/>
      <c r="F38" s="25"/>
      <c r="G38" s="24"/>
      <c r="H38" s="26"/>
      <c r="I38" s="24"/>
      <c r="J38" s="27"/>
      <c r="K38" s="7"/>
      <c r="L38" s="28"/>
      <c r="M38" s="28"/>
      <c r="O38" s="58"/>
      <c r="P38" s="58"/>
      <c r="Q38" s="58"/>
      <c r="U38" s="7"/>
      <c r="V38" s="58"/>
      <c r="W38" s="58"/>
      <c r="X38" s="58"/>
      <c r="AA38" s="61"/>
    </row>
    <row r="39" spans="1:28" s="38" customFormat="1" ht="16" thickBot="1" x14ac:dyDescent="0.4">
      <c r="A39" s="21"/>
      <c r="B39" s="8">
        <v>2019</v>
      </c>
      <c r="C39" s="9"/>
      <c r="D39" s="9"/>
      <c r="E39" s="10">
        <f>SUM(E40:E43)</f>
        <v>995260.36165999994</v>
      </c>
      <c r="F39" s="11">
        <f>SUM(F40:F43)</f>
        <v>1.510526</v>
      </c>
      <c r="G39" s="10">
        <v>1762631</v>
      </c>
      <c r="H39" s="12">
        <f>E39/G39</f>
        <v>0.564644762097115</v>
      </c>
      <c r="I39" s="10">
        <v>1221830</v>
      </c>
      <c r="J39" s="13">
        <f>E39/I39</f>
        <v>0.81456533368799255</v>
      </c>
      <c r="L39" s="28"/>
      <c r="M39" s="28"/>
      <c r="O39" s="57"/>
      <c r="P39" s="57"/>
      <c r="Q39" s="57"/>
      <c r="R39" s="7"/>
      <c r="S39" s="7"/>
      <c r="T39" s="7"/>
      <c r="U39" s="7"/>
      <c r="V39" s="57"/>
      <c r="W39" s="57"/>
      <c r="X39" s="57"/>
      <c r="Y39" s="7"/>
      <c r="Z39" s="7"/>
      <c r="AA39" s="62"/>
    </row>
    <row r="40" spans="1:28" x14ac:dyDescent="0.35">
      <c r="A40" s="21" t="str">
        <f>LEFT(B45,9)</f>
        <v>2018</v>
      </c>
      <c r="B40" s="39" t="s">
        <v>42</v>
      </c>
      <c r="C40" s="50">
        <v>43815</v>
      </c>
      <c r="D40" s="50">
        <v>43850</v>
      </c>
      <c r="E40" s="42">
        <v>107845.36032000001</v>
      </c>
      <c r="F40" s="43">
        <v>0.16367899999999999</v>
      </c>
      <c r="G40" s="42"/>
      <c r="H40" s="44"/>
      <c r="I40" s="42"/>
      <c r="J40" s="45"/>
      <c r="K40" s="38"/>
      <c r="L40" s="28">
        <f>'Proventos (port)'!L40</f>
        <v>2020</v>
      </c>
      <c r="M40" s="28">
        <f>'Proventos (port)'!M40</f>
        <v>2019</v>
      </c>
    </row>
    <row r="41" spans="1:28" x14ac:dyDescent="0.35">
      <c r="A41" s="21" t="str">
        <f>LEFT(B46,9)</f>
        <v>Dividends</v>
      </c>
      <c r="B41" s="39" t="s">
        <v>43</v>
      </c>
      <c r="C41" s="50">
        <v>43780</v>
      </c>
      <c r="D41" s="50">
        <v>43802</v>
      </c>
      <c r="E41" s="42">
        <v>293555.57285</v>
      </c>
      <c r="F41" s="43">
        <v>0.44553500000000001</v>
      </c>
      <c r="G41" s="42"/>
      <c r="H41" s="44"/>
      <c r="I41" s="42"/>
      <c r="J41" s="45"/>
      <c r="K41" s="38"/>
      <c r="L41" s="28">
        <f>'Proventos (port)'!L41</f>
        <v>2019</v>
      </c>
      <c r="M41" s="28">
        <f>'Proventos (port)'!M41</f>
        <v>2019</v>
      </c>
    </row>
    <row r="42" spans="1:28" x14ac:dyDescent="0.35">
      <c r="A42" s="21" t="str">
        <f>LEFT(B47,9)</f>
        <v>IOE</v>
      </c>
      <c r="B42" s="39" t="s">
        <v>42</v>
      </c>
      <c r="C42" s="50">
        <v>43780</v>
      </c>
      <c r="D42" s="50">
        <v>43802</v>
      </c>
      <c r="E42" s="42">
        <v>223444.45934999999</v>
      </c>
      <c r="F42" s="43">
        <v>0.33912599999999998</v>
      </c>
      <c r="G42" s="42"/>
      <c r="H42" s="44"/>
      <c r="I42" s="42"/>
      <c r="J42" s="45"/>
      <c r="K42" s="38"/>
      <c r="L42" s="28">
        <f>'Proventos (port)'!L42</f>
        <v>2019</v>
      </c>
      <c r="M42" s="28">
        <f>'Proventos (port)'!M42</f>
        <v>2019</v>
      </c>
    </row>
    <row r="43" spans="1:28" x14ac:dyDescent="0.35">
      <c r="A43" s="21" t="str">
        <f>LEFT(B48,9)</f>
        <v>Dividends</v>
      </c>
      <c r="B43" s="39" t="s">
        <v>42</v>
      </c>
      <c r="C43" s="50">
        <v>43682</v>
      </c>
      <c r="D43" s="50">
        <v>43696</v>
      </c>
      <c r="E43" s="42">
        <v>370414.96914</v>
      </c>
      <c r="F43" s="43">
        <v>0.56218599999999996</v>
      </c>
      <c r="G43" s="42"/>
      <c r="H43" s="44"/>
      <c r="I43" s="42"/>
      <c r="J43" s="45"/>
      <c r="K43" s="38"/>
      <c r="L43" s="28">
        <f>'Proventos (port)'!L43</f>
        <v>2019</v>
      </c>
      <c r="M43" s="28">
        <f>'Proventos (port)'!M43</f>
        <v>2019</v>
      </c>
    </row>
    <row r="44" spans="1:28" ht="16" thickBot="1" x14ac:dyDescent="0.4">
      <c r="A44" s="21"/>
      <c r="B44" s="39"/>
      <c r="C44" s="44"/>
      <c r="D44" s="44"/>
      <c r="E44" s="42"/>
      <c r="F44" s="43"/>
      <c r="G44" s="42"/>
      <c r="H44" s="44"/>
      <c r="I44" s="42"/>
      <c r="J44" s="45"/>
      <c r="K44" s="38"/>
      <c r="L44" s="28"/>
      <c r="M44" s="28"/>
    </row>
    <row r="45" spans="1:28" ht="16" thickBot="1" x14ac:dyDescent="0.4">
      <c r="A45" s="21" t="str">
        <f>LEFT(B50,9)</f>
        <v>2017</v>
      </c>
      <c r="B45" s="8">
        <v>2018</v>
      </c>
      <c r="C45" s="9"/>
      <c r="D45" s="9"/>
      <c r="E45" s="10">
        <f>SUM(E46:E48)</f>
        <v>1985306.6502900003</v>
      </c>
      <c r="F45" s="11">
        <f>SUM(F46:F48)</f>
        <v>12.052554000000001</v>
      </c>
      <c r="G45" s="10">
        <v>1881668</v>
      </c>
      <c r="H45" s="12">
        <f>E45/G45</f>
        <v>1.0550780745009216</v>
      </c>
      <c r="I45" s="10">
        <v>1276311</v>
      </c>
      <c r="J45" s="13">
        <f>E45/I45</f>
        <v>1.5555038311900471</v>
      </c>
      <c r="K45" s="90"/>
      <c r="L45" s="28"/>
      <c r="M45" s="28"/>
    </row>
    <row r="46" spans="1:28" x14ac:dyDescent="0.35">
      <c r="A46" s="21" t="str">
        <f>LEFT(B51,9)</f>
        <v>Dividends</v>
      </c>
      <c r="B46" s="22" t="s">
        <v>43</v>
      </c>
      <c r="C46" s="23">
        <v>43441</v>
      </c>
      <c r="D46" s="23">
        <v>43451</v>
      </c>
      <c r="E46" s="24">
        <v>633000.06173000007</v>
      </c>
      <c r="F46" s="25">
        <v>3.8428659999999999</v>
      </c>
      <c r="G46" s="24"/>
      <c r="H46" s="26"/>
      <c r="I46" s="24"/>
      <c r="J46" s="27"/>
      <c r="L46" s="28">
        <f>'Proventos (port)'!L46</f>
        <v>2018</v>
      </c>
      <c r="M46" s="28">
        <f>'Proventos (port)'!M46</f>
        <v>2018</v>
      </c>
    </row>
    <row r="47" spans="1:28" x14ac:dyDescent="0.35">
      <c r="A47" s="21" t="str">
        <f>LEFT(B52,9)</f>
        <v>Dividends</v>
      </c>
      <c r="B47" s="22" t="s">
        <v>42</v>
      </c>
      <c r="C47" s="23">
        <v>43441</v>
      </c>
      <c r="D47" s="23">
        <v>43451</v>
      </c>
      <c r="E47" s="24">
        <v>592000.05981000001</v>
      </c>
      <c r="F47" s="25">
        <v>3.59396</v>
      </c>
      <c r="G47" s="24"/>
      <c r="H47" s="26"/>
      <c r="I47" s="24"/>
      <c r="J47" s="27"/>
      <c r="L47" s="28">
        <f>'Proventos (port)'!L47</f>
        <v>2018</v>
      </c>
      <c r="M47" s="28">
        <f>'Proventos (port)'!M47</f>
        <v>2018</v>
      </c>
    </row>
    <row r="48" spans="1:28" x14ac:dyDescent="0.35">
      <c r="A48" s="21" t="str">
        <f>LEFT(B53,9)</f>
        <v>Dividends</v>
      </c>
      <c r="B48" s="22" t="s">
        <v>43</v>
      </c>
      <c r="C48" s="23">
        <v>43257</v>
      </c>
      <c r="D48" s="23">
        <v>43269</v>
      </c>
      <c r="E48" s="24">
        <v>760306.52875000006</v>
      </c>
      <c r="F48" s="25">
        <v>4.6157279999999998</v>
      </c>
      <c r="G48" s="24"/>
      <c r="H48" s="26"/>
      <c r="I48" s="24"/>
      <c r="J48" s="27"/>
      <c r="L48" s="28">
        <f>'Proventos (port)'!L48</f>
        <v>2018</v>
      </c>
      <c r="M48" s="28">
        <f>'Proventos (port)'!M48</f>
        <v>2018</v>
      </c>
    </row>
    <row r="49" spans="1:13" ht="16" thickBot="1" x14ac:dyDescent="0.4">
      <c r="A49" s="21"/>
      <c r="B49" s="22"/>
      <c r="C49" s="23"/>
      <c r="D49" s="23"/>
      <c r="E49" s="24"/>
      <c r="F49" s="25"/>
      <c r="G49" s="24"/>
      <c r="H49" s="26"/>
      <c r="I49" s="24"/>
      <c r="J49" s="27"/>
      <c r="L49" s="28"/>
      <c r="M49" s="28"/>
    </row>
    <row r="50" spans="1:13" ht="16" thickBot="1" x14ac:dyDescent="0.4">
      <c r="A50" s="21" t="str">
        <f>LEFT(B55,9)</f>
        <v>2016</v>
      </c>
      <c r="B50" s="8">
        <v>2017</v>
      </c>
      <c r="C50" s="9"/>
      <c r="D50" s="9"/>
      <c r="E50" s="10">
        <f>SUM(E51:E53)</f>
        <v>585093.64501741016</v>
      </c>
      <c r="F50" s="11">
        <f>SUM(F51:F53)</f>
        <v>3.5520320000000001</v>
      </c>
      <c r="G50" s="10">
        <v>1365512</v>
      </c>
      <c r="H50" s="12">
        <f>E50/(G50)</f>
        <v>0.42847931399900563</v>
      </c>
      <c r="I50" s="10">
        <v>615474</v>
      </c>
      <c r="J50" s="13">
        <f>E50/I50</f>
        <v>0.95063909282505865</v>
      </c>
      <c r="L50" s="28"/>
      <c r="M50" s="28"/>
    </row>
    <row r="51" spans="1:13" x14ac:dyDescent="0.35">
      <c r="A51" s="21" t="str">
        <f>LEFT(B56,9)</f>
        <v>Dividends</v>
      </c>
      <c r="B51" s="39" t="s">
        <v>43</v>
      </c>
      <c r="C51" s="50">
        <v>43208</v>
      </c>
      <c r="D51" s="50">
        <v>43266</v>
      </c>
      <c r="E51" s="42">
        <v>84693.518779316088</v>
      </c>
      <c r="F51" s="43">
        <v>0.51416399999999995</v>
      </c>
      <c r="G51" s="42"/>
      <c r="H51" s="44"/>
      <c r="I51" s="42"/>
      <c r="J51" s="45"/>
      <c r="L51" s="28">
        <f>'Proventos (port)'!L51</f>
        <v>2018</v>
      </c>
      <c r="M51" s="28">
        <f>'Proventos (port)'!M51</f>
        <v>2017</v>
      </c>
    </row>
    <row r="52" spans="1:13" x14ac:dyDescent="0.35">
      <c r="A52" s="21" t="str">
        <f>LEFT(B57,9)</f>
        <v>Dividends</v>
      </c>
      <c r="B52" s="39" t="s">
        <v>43</v>
      </c>
      <c r="C52" s="50">
        <v>43060</v>
      </c>
      <c r="D52" s="50">
        <v>43067</v>
      </c>
      <c r="E52" s="42">
        <v>365400.04359433585</v>
      </c>
      <c r="F52" s="43">
        <v>2.218299</v>
      </c>
      <c r="G52" s="42"/>
      <c r="H52" s="44"/>
      <c r="I52" s="42"/>
      <c r="J52" s="45"/>
      <c r="L52" s="28">
        <f>'Proventos (port)'!L52</f>
        <v>2017</v>
      </c>
      <c r="M52" s="28">
        <f>'Proventos (port)'!M52</f>
        <v>2017</v>
      </c>
    </row>
    <row r="53" spans="1:13" x14ac:dyDescent="0.35">
      <c r="A53" s="21"/>
      <c r="B53" s="39" t="s">
        <v>43</v>
      </c>
      <c r="C53" s="50">
        <v>42888</v>
      </c>
      <c r="D53" s="50">
        <v>42899</v>
      </c>
      <c r="E53" s="42">
        <v>135000.08264375824</v>
      </c>
      <c r="F53" s="43">
        <v>0.81956899999999999</v>
      </c>
      <c r="G53" s="42"/>
      <c r="H53" s="44"/>
      <c r="I53" s="42"/>
      <c r="J53" s="45"/>
      <c r="L53" s="28">
        <f>'Proventos (port)'!L53</f>
        <v>2017</v>
      </c>
      <c r="M53" s="28">
        <f>'Proventos (port)'!M53</f>
        <v>2017</v>
      </c>
    </row>
    <row r="54" spans="1:13" ht="16" thickBot="1" x14ac:dyDescent="0.4">
      <c r="A54" s="21" t="str">
        <f>LEFT(B59,9)</f>
        <v>2015</v>
      </c>
      <c r="B54" s="39"/>
      <c r="C54" s="44"/>
      <c r="D54" s="44"/>
      <c r="E54" s="42"/>
      <c r="F54" s="43"/>
      <c r="G54" s="42"/>
      <c r="H54" s="44"/>
      <c r="I54" s="42"/>
      <c r="J54" s="45"/>
      <c r="L54" s="28"/>
      <c r="M54" s="28"/>
    </row>
    <row r="55" spans="1:13" ht="16" thickBot="1" x14ac:dyDescent="0.4">
      <c r="A55" s="21" t="str">
        <f>LEFT(B60,9)</f>
        <v>Dividends</v>
      </c>
      <c r="B55" s="8">
        <v>2016</v>
      </c>
      <c r="C55" s="9"/>
      <c r="D55" s="9"/>
      <c r="E55" s="10">
        <f>SUM(E56:E57)</f>
        <v>247500.12406008574</v>
      </c>
      <c r="F55" s="11">
        <f>SUM(F56:F57)</f>
        <v>1.502543</v>
      </c>
      <c r="G55" s="10">
        <v>4932312</v>
      </c>
      <c r="H55" s="12">
        <f>E55/(G55)</f>
        <v>5.0179332544268436E-2</v>
      </c>
      <c r="I55" s="10">
        <v>228785</v>
      </c>
      <c r="J55" s="13">
        <f>E55/I55</f>
        <v>1.0818022338006676</v>
      </c>
      <c r="L55" s="28"/>
      <c r="M55" s="28"/>
    </row>
    <row r="56" spans="1:13" x14ac:dyDescent="0.35">
      <c r="A56" s="21" t="str">
        <f>LEFT(B61,9)</f>
        <v>Dividends</v>
      </c>
      <c r="B56" s="22" t="s">
        <v>43</v>
      </c>
      <c r="C56" s="23">
        <v>42709</v>
      </c>
      <c r="D56" s="23">
        <v>42755</v>
      </c>
      <c r="E56" s="24">
        <v>137500.05061995587</v>
      </c>
      <c r="F56" s="25">
        <v>0.83474599999999999</v>
      </c>
      <c r="G56" s="24"/>
      <c r="H56" s="26"/>
      <c r="I56" s="24"/>
      <c r="J56" s="27"/>
      <c r="L56" s="28">
        <f>'Proventos (port)'!L56</f>
        <v>2017</v>
      </c>
      <c r="M56" s="28">
        <f>'Proventos (port)'!M56</f>
        <v>2016</v>
      </c>
    </row>
    <row r="57" spans="1:13" x14ac:dyDescent="0.35">
      <c r="A57" s="21"/>
      <c r="B57" s="22" t="s">
        <v>43</v>
      </c>
      <c r="C57" s="23">
        <v>42543</v>
      </c>
      <c r="D57" s="23">
        <v>42552</v>
      </c>
      <c r="E57" s="24">
        <v>110000.07344012988</v>
      </c>
      <c r="F57" s="25">
        <v>0.66779699999999997</v>
      </c>
      <c r="G57" s="24"/>
      <c r="H57" s="26"/>
      <c r="I57" s="24"/>
      <c r="J57" s="27"/>
      <c r="L57" s="28">
        <f>'Proventos (port)'!L57</f>
        <v>2016</v>
      </c>
      <c r="M57" s="28">
        <f>'Proventos (port)'!M57</f>
        <v>2016</v>
      </c>
    </row>
    <row r="58" spans="1:13" ht="16" thickBot="1" x14ac:dyDescent="0.4">
      <c r="A58" s="21" t="str">
        <f>LEFT(B63,9)</f>
        <v>2014</v>
      </c>
      <c r="B58" s="22"/>
      <c r="C58" s="23"/>
      <c r="D58" s="23"/>
      <c r="E58" s="24"/>
      <c r="F58" s="25"/>
      <c r="G58" s="24"/>
      <c r="H58" s="26"/>
      <c r="I58" s="24"/>
      <c r="J58" s="27"/>
      <c r="L58" s="28"/>
      <c r="M58" s="28"/>
    </row>
    <row r="59" spans="1:13" ht="16" thickBot="1" x14ac:dyDescent="0.4">
      <c r="A59" s="21" t="str">
        <f>LEFT(B64,9)</f>
        <v>Dividends</v>
      </c>
      <c r="B59" s="8">
        <v>2015</v>
      </c>
      <c r="C59" s="9"/>
      <c r="D59" s="9"/>
      <c r="E59" s="10">
        <f>SUM(E60:E61)</f>
        <v>334865.09512999997</v>
      </c>
      <c r="F59" s="11">
        <f>SUM(F60:F61)</f>
        <v>2.0765609999999999</v>
      </c>
      <c r="G59" s="10">
        <v>504430</v>
      </c>
      <c r="H59" s="12">
        <f>E59/(G59)</f>
        <v>0.66384849261542722</v>
      </c>
      <c r="I59" s="10">
        <v>271887</v>
      </c>
      <c r="J59" s="13">
        <f>E59/I59</f>
        <v>1.231633344477669</v>
      </c>
      <c r="L59" s="28"/>
      <c r="M59" s="28"/>
    </row>
    <row r="60" spans="1:13" x14ac:dyDescent="0.35">
      <c r="A60" s="21" t="str">
        <f>LEFT(B65,9)</f>
        <v>Dividends</v>
      </c>
      <c r="B60" s="39" t="s">
        <v>43</v>
      </c>
      <c r="C60" s="50">
        <v>42334</v>
      </c>
      <c r="D60" s="50">
        <v>42345</v>
      </c>
      <c r="E60" s="42">
        <v>224100.00697999998</v>
      </c>
      <c r="F60" s="43">
        <v>1.389686</v>
      </c>
      <c r="G60" s="42"/>
      <c r="H60" s="44"/>
      <c r="I60" s="42"/>
      <c r="J60" s="45"/>
      <c r="L60" s="28">
        <f>'Proventos (port)'!L60</f>
        <v>2015</v>
      </c>
      <c r="M60" s="28">
        <f>'Proventos (port)'!M60</f>
        <v>2015</v>
      </c>
    </row>
    <row r="61" spans="1:13" x14ac:dyDescent="0.35">
      <c r="A61" s="21" t="str">
        <f>LEFT(B66,9)</f>
        <v>IOE</v>
      </c>
      <c r="B61" s="39" t="s">
        <v>43</v>
      </c>
      <c r="C61" s="50">
        <v>42151</v>
      </c>
      <c r="D61" s="50">
        <v>42163</v>
      </c>
      <c r="E61" s="42">
        <v>110765.08815000001</v>
      </c>
      <c r="F61" s="43">
        <v>0.68687500000000001</v>
      </c>
      <c r="G61" s="42"/>
      <c r="H61" s="44"/>
      <c r="I61" s="42"/>
      <c r="J61" s="45"/>
      <c r="L61" s="28">
        <f>'Proventos (port)'!L61</f>
        <v>2015</v>
      </c>
      <c r="M61" s="28">
        <f>'Proventos (port)'!M61</f>
        <v>2015</v>
      </c>
    </row>
    <row r="62" spans="1:13" ht="16" thickBot="1" x14ac:dyDescent="0.4">
      <c r="A62" s="21"/>
      <c r="B62" s="39"/>
      <c r="C62" s="44"/>
      <c r="D62" s="44"/>
      <c r="E62" s="42"/>
      <c r="F62" s="43"/>
      <c r="G62" s="42"/>
      <c r="H62" s="44"/>
      <c r="I62" s="42"/>
      <c r="J62" s="45"/>
      <c r="L62" s="28"/>
      <c r="M62" s="28"/>
    </row>
    <row r="63" spans="1:13" ht="16" thickBot="1" x14ac:dyDescent="0.4">
      <c r="A63" s="21" t="str">
        <f>LEFT(B68,9)</f>
        <v>2013</v>
      </c>
      <c r="B63" s="8">
        <v>2014</v>
      </c>
      <c r="C63" s="9"/>
      <c r="D63" s="9"/>
      <c r="E63" s="10">
        <f>SUM(E64:E66)</f>
        <v>227718.83040250081</v>
      </c>
      <c r="F63" s="11">
        <f>SUM(F64:F66)</f>
        <v>1.4121270000000001</v>
      </c>
      <c r="G63" s="10">
        <v>378215</v>
      </c>
      <c r="H63" s="12">
        <f>E63/(G63)</f>
        <v>0.60208831062358925</v>
      </c>
      <c r="I63" s="10">
        <v>248140</v>
      </c>
      <c r="J63" s="13">
        <f>E63/I63</f>
        <v>0.91770303216934312</v>
      </c>
      <c r="L63" s="28"/>
      <c r="M63" s="28"/>
    </row>
    <row r="64" spans="1:13" x14ac:dyDescent="0.35">
      <c r="A64" s="21" t="str">
        <f>LEFT(B69,9)</f>
        <v>Dividends</v>
      </c>
      <c r="B64" s="22" t="s">
        <v>43</v>
      </c>
      <c r="C64" s="23">
        <v>42131</v>
      </c>
      <c r="D64" s="23">
        <v>42185</v>
      </c>
      <c r="E64" s="24">
        <v>31029.060550000002</v>
      </c>
      <c r="F64" s="25">
        <v>0.192417</v>
      </c>
      <c r="G64" s="24"/>
      <c r="H64" s="26"/>
      <c r="I64" s="24"/>
      <c r="J64" s="27"/>
      <c r="L64" s="28">
        <f>'Proventos (port)'!L64</f>
        <v>2015</v>
      </c>
      <c r="M64" s="28">
        <f>'Proventos (port)'!M64</f>
        <v>2014</v>
      </c>
    </row>
    <row r="65" spans="1:13" x14ac:dyDescent="0.35">
      <c r="A65" s="21" t="str">
        <f>LEFT(B70,9)</f>
        <v>IOE</v>
      </c>
      <c r="B65" s="22" t="s">
        <v>43</v>
      </c>
      <c r="C65" s="23">
        <v>41968</v>
      </c>
      <c r="D65" s="23">
        <v>41978</v>
      </c>
      <c r="E65" s="24">
        <v>165000.02931352486</v>
      </c>
      <c r="F65" s="25">
        <v>1.023196</v>
      </c>
      <c r="G65" s="24"/>
      <c r="H65" s="26"/>
      <c r="I65" s="24"/>
      <c r="J65" s="27"/>
      <c r="L65" s="28">
        <f>'Proventos (port)'!L65</f>
        <v>2014</v>
      </c>
      <c r="M65" s="28">
        <f>'Proventos (port)'!M65</f>
        <v>2014</v>
      </c>
    </row>
    <row r="66" spans="1:13" x14ac:dyDescent="0.35">
      <c r="A66" s="21"/>
      <c r="B66" s="22" t="s">
        <v>42</v>
      </c>
      <c r="C66" s="23">
        <v>41864</v>
      </c>
      <c r="D66" s="23">
        <v>41880</v>
      </c>
      <c r="E66" s="24">
        <v>31689.740538975941</v>
      </c>
      <c r="F66" s="25">
        <v>0.19651399999999999</v>
      </c>
      <c r="G66" s="24"/>
      <c r="H66" s="26"/>
      <c r="I66" s="24"/>
      <c r="J66" s="27"/>
      <c r="L66" s="28">
        <f>'Proventos (port)'!L66</f>
        <v>2014</v>
      </c>
      <c r="M66" s="28">
        <f>'Proventos (port)'!M66</f>
        <v>2014</v>
      </c>
    </row>
    <row r="67" spans="1:13" ht="16" thickBot="1" x14ac:dyDescent="0.4">
      <c r="A67" s="21" t="str">
        <f>LEFT(B72,9)</f>
        <v>2012</v>
      </c>
      <c r="B67" s="22"/>
      <c r="C67" s="23"/>
      <c r="D67" s="23"/>
      <c r="E67" s="24"/>
      <c r="F67" s="25"/>
      <c r="G67" s="24"/>
      <c r="H67" s="26"/>
      <c r="I67" s="24"/>
      <c r="J67" s="27"/>
      <c r="L67" s="28"/>
      <c r="M67" s="28"/>
    </row>
    <row r="68" spans="1:13" ht="16" thickBot="1" x14ac:dyDescent="0.4">
      <c r="A68" s="21" t="str">
        <f>LEFT(B73,9)</f>
        <v>Dividends</v>
      </c>
      <c r="B68" s="8">
        <v>2013</v>
      </c>
      <c r="C68" s="9"/>
      <c r="D68" s="9"/>
      <c r="E68" s="10">
        <f>SUM(E69:E70)</f>
        <v>230000.21914999999</v>
      </c>
      <c r="F68" s="11">
        <f>SUM(F69:F70)</f>
        <v>1.506602</v>
      </c>
      <c r="G68" s="10">
        <v>31900</v>
      </c>
      <c r="H68" s="12" t="s">
        <v>24</v>
      </c>
      <c r="I68" s="10">
        <v>-145400</v>
      </c>
      <c r="J68" s="13" t="s">
        <v>24</v>
      </c>
      <c r="L68" s="28"/>
      <c r="M68" s="28"/>
    </row>
    <row r="69" spans="1:13" x14ac:dyDescent="0.35">
      <c r="A69" s="21" t="str">
        <f>LEFT(B74,9)</f>
        <v>IOE</v>
      </c>
      <c r="B69" s="39" t="s">
        <v>43</v>
      </c>
      <c r="C69" s="50">
        <v>41731</v>
      </c>
      <c r="D69" s="50">
        <v>41851</v>
      </c>
      <c r="E69" s="42">
        <v>30000.13478</v>
      </c>
      <c r="F69" s="43">
        <v>0.19651399999999999</v>
      </c>
      <c r="G69" s="42"/>
      <c r="H69" s="44"/>
      <c r="I69" s="42"/>
      <c r="J69" s="45"/>
      <c r="L69" s="28">
        <f>'Proventos (port)'!L69</f>
        <v>2014</v>
      </c>
      <c r="M69" s="28">
        <f>'Proventos (port)'!M69</f>
        <v>2013</v>
      </c>
    </row>
    <row r="70" spans="1:13" x14ac:dyDescent="0.35">
      <c r="A70" s="21" t="str">
        <f>LEFT(B75,9)</f>
        <v>Dividends</v>
      </c>
      <c r="B70" s="39" t="s">
        <v>42</v>
      </c>
      <c r="C70" s="50">
        <v>41634</v>
      </c>
      <c r="D70" s="50">
        <v>41669</v>
      </c>
      <c r="E70" s="42">
        <v>200000.08437</v>
      </c>
      <c r="F70" s="43">
        <v>1.3100879999999999</v>
      </c>
      <c r="G70" s="42"/>
      <c r="H70" s="44"/>
      <c r="I70" s="42"/>
      <c r="J70" s="45"/>
      <c r="L70" s="28">
        <f>'Proventos (port)'!L70</f>
        <v>2014</v>
      </c>
      <c r="M70" s="28">
        <f>'Proventos (port)'!M70</f>
        <v>2013</v>
      </c>
    </row>
    <row r="71" spans="1:13" ht="16" thickBot="1" x14ac:dyDescent="0.4">
      <c r="A71" s="21" t="str">
        <f>LEFT(B76,9)</f>
        <v>Dividends</v>
      </c>
      <c r="B71" s="39"/>
      <c r="C71" s="44"/>
      <c r="D71" s="44"/>
      <c r="E71" s="42"/>
      <c r="F71" s="43"/>
      <c r="G71" s="42"/>
      <c r="H71" s="44"/>
      <c r="I71" s="42"/>
      <c r="J71" s="45"/>
      <c r="L71" s="28"/>
      <c r="M71" s="28"/>
    </row>
    <row r="72" spans="1:13" ht="16" thickBot="1" x14ac:dyDescent="0.4">
      <c r="A72" s="21"/>
      <c r="B72" s="8">
        <v>2012</v>
      </c>
      <c r="C72" s="9"/>
      <c r="D72" s="9"/>
      <c r="E72" s="10">
        <f>SUM(E73:E76)</f>
        <v>242680.74669005111</v>
      </c>
      <c r="F72" s="11">
        <f>SUM(F73:F76)</f>
        <v>1.5896650000000001</v>
      </c>
      <c r="G72" s="10">
        <v>843488</v>
      </c>
      <c r="H72" s="12">
        <f>E72/(G72)</f>
        <v>0.28771096528943046</v>
      </c>
      <c r="I72" s="10">
        <v>1004000</v>
      </c>
      <c r="J72" s="13">
        <f>E72/I72</f>
        <v>0.24171389112554892</v>
      </c>
      <c r="L72" s="28"/>
      <c r="M72" s="28"/>
    </row>
    <row r="73" spans="1:13" x14ac:dyDescent="0.35">
      <c r="A73" s="21" t="str">
        <f t="shared" ref="A73:A79" si="2">LEFT(B78,9)</f>
        <v>2011</v>
      </c>
      <c r="B73" s="22" t="s">
        <v>43</v>
      </c>
      <c r="C73" s="23">
        <v>41092</v>
      </c>
      <c r="D73" s="23">
        <v>41117</v>
      </c>
      <c r="E73" s="24">
        <v>97050.162749098687</v>
      </c>
      <c r="F73" s="25">
        <v>0.63572099999999998</v>
      </c>
      <c r="G73" s="24"/>
      <c r="H73" s="26"/>
      <c r="I73" s="24"/>
      <c r="J73" s="27"/>
      <c r="L73" s="28">
        <f>'Proventos (port)'!L73</f>
        <v>2012</v>
      </c>
      <c r="M73" s="28">
        <f>'Proventos (port)'!M73</f>
        <v>2012</v>
      </c>
    </row>
    <row r="74" spans="1:13" x14ac:dyDescent="0.35">
      <c r="A74" s="21" t="str">
        <f t="shared" si="2"/>
        <v>IOE</v>
      </c>
      <c r="B74" s="22" t="s">
        <v>42</v>
      </c>
      <c r="C74" s="23">
        <v>41092</v>
      </c>
      <c r="D74" s="23">
        <v>41117</v>
      </c>
      <c r="E74" s="24">
        <v>63949.929569099404</v>
      </c>
      <c r="F74" s="25">
        <v>0.41889999999999999</v>
      </c>
      <c r="G74" s="24"/>
      <c r="H74" s="26"/>
      <c r="I74" s="24"/>
      <c r="J74" s="27"/>
      <c r="L74" s="28">
        <f>'Proventos (port)'!L74</f>
        <v>2012</v>
      </c>
      <c r="M74" s="28">
        <f>'Proventos (port)'!M74</f>
        <v>2012</v>
      </c>
    </row>
    <row r="75" spans="1:13" x14ac:dyDescent="0.35">
      <c r="A75" s="21" t="str">
        <f t="shared" si="2"/>
        <v>Dividends</v>
      </c>
      <c r="B75" s="22" t="s">
        <v>43</v>
      </c>
      <c r="C75" s="23">
        <v>41016</v>
      </c>
      <c r="D75" s="23">
        <v>41029</v>
      </c>
      <c r="E75" s="24">
        <v>31348.899706576736</v>
      </c>
      <c r="F75" s="25">
        <v>0.205349</v>
      </c>
      <c r="G75" s="24"/>
      <c r="H75" s="26"/>
      <c r="I75" s="24"/>
      <c r="J75" s="27"/>
      <c r="L75" s="28">
        <f>'Proventos (port)'!L75</f>
        <v>2012</v>
      </c>
      <c r="M75" s="28">
        <f>'Proventos (port)'!M75</f>
        <v>2012</v>
      </c>
    </row>
    <row r="76" spans="1:13" x14ac:dyDescent="0.35">
      <c r="A76" s="21" t="str">
        <f t="shared" si="2"/>
        <v>IOE</v>
      </c>
      <c r="B76" s="22" t="s">
        <v>43</v>
      </c>
      <c r="C76" s="23">
        <v>41016</v>
      </c>
      <c r="D76" s="23">
        <v>41029</v>
      </c>
      <c r="E76" s="24">
        <v>50331.754665276268</v>
      </c>
      <c r="F76" s="25">
        <v>0.32969500000000002</v>
      </c>
      <c r="G76" s="24"/>
      <c r="H76" s="26"/>
      <c r="I76" s="24"/>
      <c r="J76" s="27"/>
      <c r="L76" s="28">
        <f>'Proventos (port)'!L76</f>
        <v>2012</v>
      </c>
      <c r="M76" s="28">
        <f>'Proventos (port)'!M76</f>
        <v>2012</v>
      </c>
    </row>
    <row r="77" spans="1:13" ht="16" thickBot="1" x14ac:dyDescent="0.4">
      <c r="A77" s="21" t="str">
        <f t="shared" si="2"/>
        <v>Dividends</v>
      </c>
      <c r="B77" s="22"/>
      <c r="C77" s="23"/>
      <c r="D77" s="23"/>
      <c r="E77" s="24"/>
      <c r="F77" s="25"/>
      <c r="G77" s="24"/>
      <c r="H77" s="26"/>
      <c r="I77" s="24"/>
      <c r="J77" s="27"/>
      <c r="L77" s="28"/>
      <c r="M77" s="28"/>
    </row>
    <row r="78" spans="1:13" ht="16" thickBot="1" x14ac:dyDescent="0.4">
      <c r="A78" s="21" t="str">
        <f t="shared" si="2"/>
        <v>IOE</v>
      </c>
      <c r="B78" s="8">
        <v>2011</v>
      </c>
      <c r="C78" s="9"/>
      <c r="D78" s="9"/>
      <c r="E78" s="10">
        <f>SUM(E79:E84)</f>
        <v>691985.84615318</v>
      </c>
      <c r="F78" s="11">
        <f>SUM(F79:F84)</f>
        <v>4.5492609999999996</v>
      </c>
      <c r="G78" s="10">
        <v>915260</v>
      </c>
      <c r="H78" s="12">
        <f>E78/(G78)</f>
        <v>0.7560538493468304</v>
      </c>
      <c r="I78" s="10">
        <v>805700</v>
      </c>
      <c r="J78" s="13">
        <f>E78/I78</f>
        <v>0.85886290946156141</v>
      </c>
      <c r="L78" s="28"/>
      <c r="M78" s="28"/>
    </row>
    <row r="79" spans="1:13" x14ac:dyDescent="0.35">
      <c r="A79" s="21" t="str">
        <f t="shared" si="2"/>
        <v>Dividends</v>
      </c>
      <c r="B79" s="39" t="s">
        <v>42</v>
      </c>
      <c r="C79" s="50">
        <v>40925</v>
      </c>
      <c r="D79" s="50">
        <v>40938</v>
      </c>
      <c r="E79" s="42">
        <v>64158.159943728795</v>
      </c>
      <c r="F79" s="43">
        <v>0.42026400000000003</v>
      </c>
      <c r="G79" s="42"/>
      <c r="H79" s="44"/>
      <c r="I79" s="42"/>
      <c r="J79" s="45"/>
      <c r="L79" s="28">
        <f>'Proventos (port)'!L79</f>
        <v>2012</v>
      </c>
      <c r="M79" s="28">
        <f>'Proventos (port)'!M79</f>
        <v>2011</v>
      </c>
    </row>
    <row r="80" spans="1:13" x14ac:dyDescent="0.35">
      <c r="A80" s="21"/>
      <c r="B80" s="39" t="s">
        <v>43</v>
      </c>
      <c r="C80" s="50">
        <v>40925</v>
      </c>
      <c r="D80" s="50">
        <v>40938</v>
      </c>
      <c r="E80" s="42">
        <v>169841.94483856834</v>
      </c>
      <c r="F80" s="43">
        <v>1.1125389999999999</v>
      </c>
      <c r="G80" s="42"/>
      <c r="H80" s="44"/>
      <c r="I80" s="42"/>
      <c r="J80" s="45"/>
      <c r="L80" s="28">
        <f>'Proventos (port)'!L80</f>
        <v>2012</v>
      </c>
      <c r="M80" s="28">
        <f>'Proventos (port)'!M80</f>
        <v>2011</v>
      </c>
    </row>
    <row r="81" spans="1:13" x14ac:dyDescent="0.35">
      <c r="A81" s="21" t="str">
        <f t="shared" ref="A81:A90" si="3">LEFT(B86,9)</f>
        <v>2010</v>
      </c>
      <c r="B81" s="39" t="s">
        <v>42</v>
      </c>
      <c r="C81" s="50">
        <v>40827</v>
      </c>
      <c r="D81" s="50">
        <v>40847</v>
      </c>
      <c r="E81" s="42">
        <v>61228.528250000003</v>
      </c>
      <c r="F81" s="43">
        <v>0.40327299999999999</v>
      </c>
      <c r="G81" s="42"/>
      <c r="H81" s="44"/>
      <c r="I81" s="42"/>
      <c r="J81" s="45"/>
      <c r="L81" s="28">
        <f>'Proventos (port)'!L81</f>
        <v>2011</v>
      </c>
      <c r="M81" s="28">
        <f>'Proventos (port)'!M81</f>
        <v>2011</v>
      </c>
    </row>
    <row r="82" spans="1:13" x14ac:dyDescent="0.35">
      <c r="A82" s="21" t="str">
        <f t="shared" si="3"/>
        <v>Dividends</v>
      </c>
      <c r="B82" s="39" t="s">
        <v>43</v>
      </c>
      <c r="C82" s="50">
        <v>40827</v>
      </c>
      <c r="D82" s="50">
        <v>40847</v>
      </c>
      <c r="E82" s="42">
        <v>172771.51036000001</v>
      </c>
      <c r="F82" s="43">
        <v>1.1379349999999999</v>
      </c>
      <c r="G82" s="42"/>
      <c r="H82" s="44"/>
      <c r="I82" s="42"/>
      <c r="J82" s="45"/>
      <c r="L82" s="28">
        <f>'Proventos (port)'!L82</f>
        <v>2011</v>
      </c>
      <c r="M82" s="28">
        <f>'Proventos (port)'!M82</f>
        <v>2011</v>
      </c>
    </row>
    <row r="83" spans="1:13" x14ac:dyDescent="0.35">
      <c r="A83" s="21" t="str">
        <f t="shared" si="3"/>
        <v>IOE</v>
      </c>
      <c r="B83" s="39" t="s">
        <v>42</v>
      </c>
      <c r="C83" s="50">
        <v>40731</v>
      </c>
      <c r="D83" s="50">
        <v>40752</v>
      </c>
      <c r="E83" s="42">
        <v>63460.717920000003</v>
      </c>
      <c r="F83" s="43">
        <v>0.41797499999999999</v>
      </c>
      <c r="G83" s="42"/>
      <c r="H83" s="44"/>
      <c r="I83" s="42"/>
      <c r="J83" s="45"/>
      <c r="L83" s="28">
        <f>'Proventos (port)'!L83</f>
        <v>2011</v>
      </c>
      <c r="M83" s="28">
        <f>'Proventos (port)'!M83</f>
        <v>2011</v>
      </c>
    </row>
    <row r="84" spans="1:13" x14ac:dyDescent="0.35">
      <c r="A84" s="21" t="str">
        <f t="shared" si="3"/>
        <v>Dividends</v>
      </c>
      <c r="B84" s="39" t="s">
        <v>43</v>
      </c>
      <c r="C84" s="50">
        <v>40731</v>
      </c>
      <c r="D84" s="50">
        <v>40752</v>
      </c>
      <c r="E84" s="42">
        <v>160524.98484088283</v>
      </c>
      <c r="F84" s="43">
        <v>1.057275</v>
      </c>
      <c r="G84" s="42"/>
      <c r="H84" s="44"/>
      <c r="I84" s="42"/>
      <c r="J84" s="45"/>
      <c r="L84" s="28">
        <f>'Proventos (port)'!L84</f>
        <v>2011</v>
      </c>
      <c r="M84" s="28">
        <f>'Proventos (port)'!M84</f>
        <v>2011</v>
      </c>
    </row>
    <row r="85" spans="1:13" ht="16" thickBot="1" x14ac:dyDescent="0.4">
      <c r="A85" s="21" t="str">
        <f t="shared" si="3"/>
        <v>IOE</v>
      </c>
      <c r="B85" s="67"/>
      <c r="C85" s="68"/>
      <c r="D85" s="68"/>
      <c r="E85" s="69"/>
      <c r="F85" s="70"/>
      <c r="G85" s="69"/>
      <c r="H85" s="71"/>
      <c r="I85" s="69"/>
      <c r="J85" s="72"/>
      <c r="L85" s="28"/>
      <c r="M85" s="28"/>
    </row>
    <row r="86" spans="1:13" ht="16" thickBot="1" x14ac:dyDescent="0.4">
      <c r="A86" s="21" t="str">
        <f t="shared" si="3"/>
        <v>Dividends</v>
      </c>
      <c r="B86" s="8">
        <v>2010</v>
      </c>
      <c r="C86" s="9"/>
      <c r="D86" s="9"/>
      <c r="E86" s="10">
        <f>SUM(E87:E95)</f>
        <v>775411.70514320454</v>
      </c>
      <c r="F86" s="11">
        <f>SUM(F87:F95)</f>
        <v>5.1071389999999992</v>
      </c>
      <c r="G86" s="10">
        <v>812171</v>
      </c>
      <c r="H86" s="12">
        <f>E86/(G86)</f>
        <v>0.95473946390994568</v>
      </c>
      <c r="I86" s="10">
        <f>G86</f>
        <v>812171</v>
      </c>
      <c r="J86" s="13">
        <f>E86/I86</f>
        <v>0.95473946390994568</v>
      </c>
      <c r="L86" s="28"/>
      <c r="M86" s="28"/>
    </row>
    <row r="87" spans="1:13" x14ac:dyDescent="0.35">
      <c r="A87" s="21" t="str">
        <f t="shared" si="3"/>
        <v>Dividends</v>
      </c>
      <c r="B87" s="22" t="s">
        <v>43</v>
      </c>
      <c r="C87" s="23">
        <v>40665</v>
      </c>
      <c r="D87" s="23">
        <v>40752</v>
      </c>
      <c r="E87" s="24">
        <v>16714.396922445219</v>
      </c>
      <c r="F87" s="25">
        <v>0.110087</v>
      </c>
      <c r="G87" s="24"/>
      <c r="H87" s="26"/>
      <c r="I87" s="24"/>
      <c r="J87" s="27"/>
      <c r="L87" s="28">
        <f>'Proventos (port)'!L87</f>
        <v>2011</v>
      </c>
      <c r="M87" s="28">
        <f>'Proventos (port)'!M87</f>
        <v>2010</v>
      </c>
    </row>
    <row r="88" spans="1:13" x14ac:dyDescent="0.35">
      <c r="A88" s="21" t="str">
        <f t="shared" si="3"/>
        <v>IOE</v>
      </c>
      <c r="B88" s="22" t="s">
        <v>42</v>
      </c>
      <c r="C88" s="23">
        <v>40640</v>
      </c>
      <c r="D88" s="23">
        <v>40662</v>
      </c>
      <c r="E88" s="24">
        <v>65692.755755138278</v>
      </c>
      <c r="F88" s="25">
        <v>0.43267600000000001</v>
      </c>
      <c r="G88" s="24"/>
      <c r="H88" s="26"/>
      <c r="I88" s="24"/>
      <c r="J88" s="27"/>
      <c r="L88" s="28">
        <f>'Proventos (port)'!L88</f>
        <v>2011</v>
      </c>
      <c r="M88" s="28">
        <f>'Proventos (port)'!M88</f>
        <v>2010</v>
      </c>
    </row>
    <row r="89" spans="1:13" x14ac:dyDescent="0.35">
      <c r="A89" s="21" t="str">
        <f t="shared" si="3"/>
        <v>IOE</v>
      </c>
      <c r="B89" s="22" t="s">
        <v>43</v>
      </c>
      <c r="C89" s="23">
        <v>40640</v>
      </c>
      <c r="D89" s="23">
        <v>40662</v>
      </c>
      <c r="E89" s="24">
        <v>181307.18379577648</v>
      </c>
      <c r="F89" s="25">
        <v>1.1941539999999999</v>
      </c>
      <c r="G89" s="24"/>
      <c r="H89" s="26"/>
      <c r="I89" s="24"/>
      <c r="J89" s="27"/>
      <c r="L89" s="28">
        <f>'Proventos (port)'!L89</f>
        <v>2011</v>
      </c>
      <c r="M89" s="28">
        <f>'Proventos (port)'!M89</f>
        <v>2010</v>
      </c>
    </row>
    <row r="90" spans="1:13" x14ac:dyDescent="0.35">
      <c r="A90" s="21" t="str">
        <f t="shared" si="3"/>
        <v>Dividends</v>
      </c>
      <c r="B90" s="22" t="s">
        <v>42</v>
      </c>
      <c r="C90" s="23">
        <v>40560</v>
      </c>
      <c r="D90" s="23">
        <v>40571</v>
      </c>
      <c r="E90" s="24">
        <v>63027.094353089255</v>
      </c>
      <c r="F90" s="25">
        <v>0.41511900000000002</v>
      </c>
      <c r="G90" s="24"/>
      <c r="H90" s="26"/>
      <c r="I90" s="24"/>
      <c r="J90" s="27"/>
      <c r="L90" s="28">
        <f>'Proventos (port)'!L90</f>
        <v>2011</v>
      </c>
      <c r="M90" s="28">
        <f>'Proventos (port)'!M90</f>
        <v>2010</v>
      </c>
    </row>
    <row r="91" spans="1:13" x14ac:dyDescent="0.35">
      <c r="A91" s="21"/>
      <c r="B91" s="22" t="s">
        <v>43</v>
      </c>
      <c r="C91" s="23">
        <v>40560</v>
      </c>
      <c r="D91" s="23">
        <v>40571</v>
      </c>
      <c r="E91" s="24">
        <v>112072.8652529071</v>
      </c>
      <c r="F91" s="25">
        <v>0.73815200000000003</v>
      </c>
      <c r="G91" s="24"/>
      <c r="H91" s="26"/>
      <c r="I91" s="24"/>
      <c r="J91" s="27"/>
      <c r="L91" s="28">
        <f>'Proventos (port)'!L91</f>
        <v>2011</v>
      </c>
      <c r="M91" s="28">
        <f>'Proventos (port)'!M91</f>
        <v>2010</v>
      </c>
    </row>
    <row r="92" spans="1:13" x14ac:dyDescent="0.35">
      <c r="A92" s="21" t="str">
        <f t="shared" ref="A92:A102" si="4">LEFT(B97,9)</f>
        <v>2009</v>
      </c>
      <c r="B92" s="22" t="s">
        <v>43</v>
      </c>
      <c r="C92" s="23">
        <v>40459</v>
      </c>
      <c r="D92" s="23">
        <v>40476</v>
      </c>
      <c r="E92" s="24">
        <v>146280.08627831275</v>
      </c>
      <c r="F92" s="25">
        <v>0.963453</v>
      </c>
      <c r="G92" s="24"/>
      <c r="H92" s="26"/>
      <c r="I92" s="24"/>
      <c r="J92" s="27"/>
      <c r="L92" s="28">
        <f>'Proventos (port)'!L92</f>
        <v>2010</v>
      </c>
      <c r="M92" s="28">
        <f>'Proventos (port)'!M92</f>
        <v>2010</v>
      </c>
    </row>
    <row r="93" spans="1:13" x14ac:dyDescent="0.35">
      <c r="A93" s="21" t="str">
        <f t="shared" si="4"/>
        <v>Dividends</v>
      </c>
      <c r="B93" s="22" t="s">
        <v>42</v>
      </c>
      <c r="C93" s="23">
        <v>40459</v>
      </c>
      <c r="D93" s="23">
        <v>40476</v>
      </c>
      <c r="E93" s="24">
        <v>63719.889988878385</v>
      </c>
      <c r="F93" s="25">
        <v>0.419682</v>
      </c>
      <c r="G93" s="24"/>
      <c r="H93" s="26"/>
      <c r="I93" s="24"/>
      <c r="J93" s="27"/>
      <c r="L93" s="28">
        <f>'Proventos (port)'!L93</f>
        <v>2010</v>
      </c>
      <c r="M93" s="28">
        <f>'Proventos (port)'!M93</f>
        <v>2010</v>
      </c>
    </row>
    <row r="94" spans="1:13" x14ac:dyDescent="0.35">
      <c r="A94" s="21" t="str">
        <f t="shared" si="4"/>
        <v>Dividends</v>
      </c>
      <c r="B94" s="22" t="s">
        <v>42</v>
      </c>
      <c r="C94" s="23">
        <v>40367</v>
      </c>
      <c r="D94" s="23">
        <v>40382</v>
      </c>
      <c r="E94" s="24">
        <v>62925.824423422077</v>
      </c>
      <c r="F94" s="25">
        <v>0.41445199999999999</v>
      </c>
      <c r="G94" s="24"/>
      <c r="H94" s="26"/>
      <c r="I94" s="24"/>
      <c r="J94" s="27"/>
      <c r="L94" s="28">
        <f>'Proventos (port)'!L94</f>
        <v>2010</v>
      </c>
      <c r="M94" s="28">
        <f>'Proventos (port)'!M94</f>
        <v>2010</v>
      </c>
    </row>
    <row r="95" spans="1:13" x14ac:dyDescent="0.35">
      <c r="A95" s="21" t="str">
        <f t="shared" si="4"/>
        <v>IOE</v>
      </c>
      <c r="B95" s="22" t="s">
        <v>43</v>
      </c>
      <c r="C95" s="23">
        <v>40367</v>
      </c>
      <c r="D95" s="23">
        <v>40382</v>
      </c>
      <c r="E95" s="24">
        <v>63671.608373234965</v>
      </c>
      <c r="F95" s="25">
        <v>0.41936400000000001</v>
      </c>
      <c r="G95" s="24"/>
      <c r="H95" s="26"/>
      <c r="I95" s="24"/>
      <c r="J95" s="27"/>
      <c r="L95" s="28">
        <f>'Proventos (port)'!L95</f>
        <v>2010</v>
      </c>
      <c r="M95" s="28">
        <f>'Proventos (port)'!M95</f>
        <v>2010</v>
      </c>
    </row>
    <row r="96" spans="1:13" ht="16" thickBot="1" x14ac:dyDescent="0.4">
      <c r="A96" s="21" t="str">
        <f t="shared" si="4"/>
        <v>Dividends</v>
      </c>
      <c r="B96" s="22"/>
      <c r="C96" s="23"/>
      <c r="D96" s="23"/>
      <c r="E96" s="24"/>
      <c r="F96" s="25"/>
      <c r="G96" s="24"/>
      <c r="H96" s="26"/>
      <c r="I96" s="24"/>
      <c r="J96" s="27"/>
      <c r="L96" s="28"/>
      <c r="M96" s="28"/>
    </row>
    <row r="97" spans="1:13" ht="16" thickBot="1" x14ac:dyDescent="0.4">
      <c r="A97" s="21" t="str">
        <f t="shared" si="4"/>
        <v>IOE</v>
      </c>
      <c r="B97" s="8">
        <v>2009</v>
      </c>
      <c r="C97" s="9"/>
      <c r="D97" s="9"/>
      <c r="E97" s="10">
        <f>SUM(E98:E107)</f>
        <v>845099.64981935092</v>
      </c>
      <c r="F97" s="11">
        <f>SUM(F98:F107)</f>
        <v>5.6169479999999989</v>
      </c>
      <c r="G97" s="10">
        <v>861975</v>
      </c>
      <c r="H97" s="12">
        <f>E97/(G97)</f>
        <v>0.98042245983856946</v>
      </c>
      <c r="I97" s="10">
        <f>G97</f>
        <v>861975</v>
      </c>
      <c r="J97" s="13">
        <f>E97/I97</f>
        <v>0.98042245983856946</v>
      </c>
      <c r="L97" s="28"/>
      <c r="M97" s="28"/>
    </row>
    <row r="98" spans="1:13" x14ac:dyDescent="0.35">
      <c r="A98" s="21" t="str">
        <f t="shared" si="4"/>
        <v>Dividends</v>
      </c>
      <c r="B98" s="39" t="s">
        <v>43</v>
      </c>
      <c r="C98" s="50">
        <v>40303</v>
      </c>
      <c r="D98" s="50">
        <v>40382</v>
      </c>
      <c r="E98" s="42">
        <v>77302.662369621539</v>
      </c>
      <c r="F98" s="43">
        <v>0.50914300000000001</v>
      </c>
      <c r="G98" s="42"/>
      <c r="H98" s="44"/>
      <c r="I98" s="42"/>
      <c r="J98" s="45"/>
      <c r="L98" s="28">
        <f>'Proventos (port)'!L98</f>
        <v>2010</v>
      </c>
      <c r="M98" s="28">
        <f>'Proventos (port)'!M98</f>
        <v>2009</v>
      </c>
    </row>
    <row r="99" spans="1:13" x14ac:dyDescent="0.35">
      <c r="A99" s="21" t="str">
        <f t="shared" si="4"/>
        <v>IOE</v>
      </c>
      <c r="B99" s="39" t="s">
        <v>43</v>
      </c>
      <c r="C99" s="50">
        <v>40277</v>
      </c>
      <c r="D99" s="50">
        <v>40288</v>
      </c>
      <c r="E99" s="42">
        <v>129979.8546478683</v>
      </c>
      <c r="F99" s="43">
        <v>0.86275599999999997</v>
      </c>
      <c r="G99" s="42"/>
      <c r="H99" s="44"/>
      <c r="I99" s="42"/>
      <c r="J99" s="45"/>
      <c r="L99" s="28">
        <f>'Proventos (port)'!L99</f>
        <v>2010</v>
      </c>
      <c r="M99" s="28">
        <f>'Proventos (port)'!M99</f>
        <v>2009</v>
      </c>
    </row>
    <row r="100" spans="1:13" x14ac:dyDescent="0.35">
      <c r="A100" s="21" t="str">
        <f t="shared" si="4"/>
        <v>Dividends</v>
      </c>
      <c r="B100" s="39" t="s">
        <v>42</v>
      </c>
      <c r="C100" s="50">
        <v>40277</v>
      </c>
      <c r="D100" s="50">
        <v>40288</v>
      </c>
      <c r="E100" s="42">
        <v>61920.149173095488</v>
      </c>
      <c r="F100" s="43">
        <v>0.41100199999999998</v>
      </c>
      <c r="G100" s="42"/>
      <c r="H100" s="44"/>
      <c r="I100" s="42"/>
      <c r="J100" s="45"/>
      <c r="L100" s="28">
        <f>'Proventos (port)'!L100</f>
        <v>2010</v>
      </c>
      <c r="M100" s="28">
        <f>'Proventos (port)'!M100</f>
        <v>2009</v>
      </c>
    </row>
    <row r="101" spans="1:13" x14ac:dyDescent="0.35">
      <c r="A101" s="21" t="str">
        <f t="shared" si="4"/>
        <v>IOE</v>
      </c>
      <c r="B101" s="39" t="s">
        <v>43</v>
      </c>
      <c r="C101" s="50">
        <v>40190</v>
      </c>
      <c r="D101" s="50">
        <v>40200</v>
      </c>
      <c r="E101" s="42">
        <v>161000.04120350641</v>
      </c>
      <c r="F101" s="43">
        <v>1.0686560000000001</v>
      </c>
      <c r="G101" s="42"/>
      <c r="H101" s="44"/>
      <c r="I101" s="42"/>
      <c r="J101" s="45"/>
      <c r="L101" s="28">
        <f>'Proventos (port)'!L101</f>
        <v>2010</v>
      </c>
      <c r="M101" s="28">
        <f>'Proventos (port)'!M101</f>
        <v>2009</v>
      </c>
    </row>
    <row r="102" spans="1:13" x14ac:dyDescent="0.35">
      <c r="A102" s="21" t="str">
        <f t="shared" si="4"/>
        <v>IOE</v>
      </c>
      <c r="B102" s="39" t="s">
        <v>42</v>
      </c>
      <c r="C102" s="50">
        <v>40163</v>
      </c>
      <c r="D102" s="50">
        <v>40177</v>
      </c>
      <c r="E102" s="42">
        <v>61380.798673487989</v>
      </c>
      <c r="F102" s="43">
        <v>0.40742200000000001</v>
      </c>
      <c r="G102" s="42"/>
      <c r="H102" s="44"/>
      <c r="I102" s="42"/>
      <c r="J102" s="45"/>
      <c r="L102" s="28">
        <f>'Proventos (port)'!L102</f>
        <v>2009</v>
      </c>
      <c r="M102" s="28">
        <f>'Proventos (port)'!M102</f>
        <v>2009</v>
      </c>
    </row>
    <row r="103" spans="1:13" x14ac:dyDescent="0.35">
      <c r="A103" s="21"/>
      <c r="B103" s="39" t="s">
        <v>43</v>
      </c>
      <c r="C103" s="50">
        <v>40093</v>
      </c>
      <c r="D103" s="50">
        <v>40107</v>
      </c>
      <c r="E103" s="42">
        <v>103444.56334999998</v>
      </c>
      <c r="F103" s="43">
        <v>0.68662500000000004</v>
      </c>
      <c r="G103" s="42"/>
      <c r="H103" s="44"/>
      <c r="I103" s="42"/>
      <c r="J103" s="45"/>
      <c r="L103" s="28">
        <f>'Proventos (port)'!L103</f>
        <v>2009</v>
      </c>
      <c r="M103" s="28">
        <f>'Proventos (port)'!M103</f>
        <v>2009</v>
      </c>
    </row>
    <row r="104" spans="1:13" x14ac:dyDescent="0.35">
      <c r="A104" s="21" t="str">
        <f t="shared" ref="A104:A113" si="5">LEFT(B109,9)</f>
        <v>2008</v>
      </c>
      <c r="B104" s="39" t="s">
        <v>42</v>
      </c>
      <c r="C104" s="50">
        <v>40093</v>
      </c>
      <c r="D104" s="50">
        <v>40107</v>
      </c>
      <c r="E104" s="42">
        <v>62055.438767689775</v>
      </c>
      <c r="F104" s="43">
        <v>0.41189999999999999</v>
      </c>
      <c r="G104" s="42"/>
      <c r="H104" s="44"/>
      <c r="I104" s="42"/>
      <c r="J104" s="45"/>
      <c r="L104" s="28">
        <f>'Proventos (port)'!L104</f>
        <v>2009</v>
      </c>
      <c r="M104" s="28">
        <f>'Proventos (port)'!M104</f>
        <v>2009</v>
      </c>
    </row>
    <row r="105" spans="1:13" x14ac:dyDescent="0.35">
      <c r="A105" s="21" t="str">
        <f t="shared" si="5"/>
        <v>Dividends</v>
      </c>
      <c r="B105" s="39" t="s">
        <v>43</v>
      </c>
      <c r="C105" s="50">
        <v>40001</v>
      </c>
      <c r="D105" s="50">
        <v>40015</v>
      </c>
      <c r="E105" s="42">
        <v>60842.161013877012</v>
      </c>
      <c r="F105" s="43">
        <v>0.407557</v>
      </c>
      <c r="G105" s="42"/>
      <c r="H105" s="44"/>
      <c r="I105" s="42"/>
      <c r="J105" s="45"/>
      <c r="L105" s="28">
        <f>'Proventos (port)'!L105</f>
        <v>2009</v>
      </c>
      <c r="M105" s="28">
        <f>'Proventos (port)'!M105</f>
        <v>2009</v>
      </c>
    </row>
    <row r="106" spans="1:13" x14ac:dyDescent="0.35">
      <c r="A106" s="21" t="str">
        <f t="shared" si="5"/>
        <v>Dividends</v>
      </c>
      <c r="B106" s="39" t="s">
        <v>42</v>
      </c>
      <c r="C106" s="50">
        <v>39987</v>
      </c>
      <c r="D106" s="50">
        <v>39995</v>
      </c>
      <c r="E106" s="42">
        <v>63938.332640000008</v>
      </c>
      <c r="F106" s="43">
        <v>0.42829699999999998</v>
      </c>
      <c r="G106" s="42"/>
      <c r="H106" s="44"/>
      <c r="I106" s="42"/>
      <c r="J106" s="45"/>
      <c r="L106" s="28">
        <f>'Proventos (port)'!L106</f>
        <v>2009</v>
      </c>
      <c r="M106" s="28">
        <f>'Proventos (port)'!M106</f>
        <v>2009</v>
      </c>
    </row>
    <row r="107" spans="1:13" x14ac:dyDescent="0.35">
      <c r="A107" s="21" t="str">
        <f t="shared" si="5"/>
        <v>IOE</v>
      </c>
      <c r="B107" s="39" t="s">
        <v>42</v>
      </c>
      <c r="C107" s="50">
        <v>39917</v>
      </c>
      <c r="D107" s="50">
        <v>39927</v>
      </c>
      <c r="E107" s="42">
        <v>63235.647980204405</v>
      </c>
      <c r="F107" s="43">
        <v>0.42359000000000002</v>
      </c>
      <c r="G107" s="42"/>
      <c r="H107" s="44"/>
      <c r="I107" s="42"/>
      <c r="J107" s="45"/>
      <c r="L107" s="28">
        <f>'Proventos (port)'!L107</f>
        <v>2009</v>
      </c>
      <c r="M107" s="28">
        <f>'Proventos (port)'!M107</f>
        <v>2009</v>
      </c>
    </row>
    <row r="108" spans="1:13" ht="16" thickBot="1" x14ac:dyDescent="0.4">
      <c r="A108" s="21" t="str">
        <f t="shared" si="5"/>
        <v>Dividends</v>
      </c>
      <c r="B108" s="39"/>
      <c r="C108" s="50"/>
      <c r="D108" s="50"/>
      <c r="E108" s="42"/>
      <c r="F108" s="43"/>
      <c r="G108" s="42"/>
      <c r="H108" s="44"/>
      <c r="I108" s="42"/>
      <c r="J108" s="45"/>
      <c r="L108" s="28"/>
      <c r="M108" s="28"/>
    </row>
    <row r="109" spans="1:13" ht="16" thickBot="1" x14ac:dyDescent="0.4">
      <c r="A109" s="21" t="str">
        <f t="shared" si="5"/>
        <v>IOE</v>
      </c>
      <c r="B109" s="8">
        <v>2008</v>
      </c>
      <c r="C109" s="9"/>
      <c r="D109" s="9"/>
      <c r="E109" s="10">
        <f>SUM(E110:E118)</f>
        <v>734900.96749106969</v>
      </c>
      <c r="F109" s="11">
        <f>SUM(F110:F118)</f>
        <v>4.9228040000000002</v>
      </c>
      <c r="G109" s="10">
        <v>827065</v>
      </c>
      <c r="H109" s="12">
        <f>E109/(G109)</f>
        <v>0.88856494651698437</v>
      </c>
      <c r="I109" s="10">
        <f>G109</f>
        <v>827065</v>
      </c>
      <c r="J109" s="13">
        <f>E109/I109</f>
        <v>0.88856494651698437</v>
      </c>
      <c r="L109" s="28"/>
      <c r="M109" s="28"/>
    </row>
    <row r="110" spans="1:13" x14ac:dyDescent="0.35">
      <c r="A110" s="21" t="str">
        <f t="shared" si="5"/>
        <v>Dividends</v>
      </c>
      <c r="B110" s="22" t="s">
        <v>43</v>
      </c>
      <c r="C110" s="23">
        <v>39919</v>
      </c>
      <c r="D110" s="23">
        <v>39927</v>
      </c>
      <c r="E110" s="24">
        <v>105890.71174879157</v>
      </c>
      <c r="F110" s="25">
        <v>0.70931900000000003</v>
      </c>
      <c r="G110" s="24"/>
      <c r="H110" s="26"/>
      <c r="I110" s="24"/>
      <c r="J110" s="27"/>
      <c r="L110" s="28">
        <f>'Proventos (port)'!L110</f>
        <v>2009</v>
      </c>
      <c r="M110" s="28">
        <f>'Proventos (port)'!M110</f>
        <v>2008</v>
      </c>
    </row>
    <row r="111" spans="1:13" x14ac:dyDescent="0.35">
      <c r="A111" s="21" t="str">
        <f t="shared" si="5"/>
        <v>IOE</v>
      </c>
      <c r="B111" s="22" t="s">
        <v>43</v>
      </c>
      <c r="C111" s="23">
        <v>39826</v>
      </c>
      <c r="D111" s="23">
        <v>39833</v>
      </c>
      <c r="E111" s="24">
        <v>122500.0154590528</v>
      </c>
      <c r="F111" s="25">
        <v>0.82057800000000003</v>
      </c>
      <c r="G111" s="24"/>
      <c r="H111" s="26"/>
      <c r="I111" s="24"/>
      <c r="J111" s="27"/>
      <c r="L111" s="28">
        <f>'Proventos (port)'!L111</f>
        <v>2009</v>
      </c>
      <c r="M111" s="28">
        <f>'Proventos (port)'!M111</f>
        <v>2008</v>
      </c>
    </row>
    <row r="112" spans="1:13" x14ac:dyDescent="0.35">
      <c r="A112" s="21" t="str">
        <f t="shared" si="5"/>
        <v>Dividends</v>
      </c>
      <c r="B112" s="22" t="s">
        <v>42</v>
      </c>
      <c r="C112" s="23">
        <v>39797</v>
      </c>
      <c r="D112" s="23">
        <v>39812</v>
      </c>
      <c r="E112" s="24">
        <v>59667.735643447435</v>
      </c>
      <c r="F112" s="25">
        <v>0.39968999999999999</v>
      </c>
      <c r="G112" s="24"/>
      <c r="H112" s="26"/>
      <c r="I112" s="24"/>
      <c r="J112" s="27"/>
      <c r="L112" s="28">
        <f>'Proventos (port)'!L112</f>
        <v>2008</v>
      </c>
      <c r="M112" s="28">
        <f>'Proventos (port)'!M112</f>
        <v>2008</v>
      </c>
    </row>
    <row r="113" spans="1:13" x14ac:dyDescent="0.35">
      <c r="A113" s="21" t="str">
        <f t="shared" si="5"/>
        <v>IOE</v>
      </c>
      <c r="B113" s="22" t="s">
        <v>43</v>
      </c>
      <c r="C113" s="23">
        <v>39731</v>
      </c>
      <c r="D113" s="23">
        <v>39738</v>
      </c>
      <c r="E113" s="24">
        <v>54611.899362738302</v>
      </c>
      <c r="F113" s="25">
        <v>0.36582300000000001</v>
      </c>
      <c r="G113" s="24"/>
      <c r="H113" s="26"/>
      <c r="I113" s="24"/>
      <c r="J113" s="27"/>
      <c r="L113" s="28">
        <f>'Proventos (port)'!L113</f>
        <v>2008</v>
      </c>
      <c r="M113" s="28">
        <f>'Proventos (port)'!M113</f>
        <v>2008</v>
      </c>
    </row>
    <row r="114" spans="1:13" x14ac:dyDescent="0.35">
      <c r="A114" s="21"/>
      <c r="B114" s="22" t="s">
        <v>42</v>
      </c>
      <c r="C114" s="23">
        <v>39731</v>
      </c>
      <c r="D114" s="23">
        <v>39738</v>
      </c>
      <c r="E114" s="24">
        <v>60388.185222409331</v>
      </c>
      <c r="F114" s="25">
        <v>0.40451599999999999</v>
      </c>
      <c r="G114" s="24"/>
      <c r="H114" s="26"/>
      <c r="I114" s="24"/>
      <c r="J114" s="27"/>
      <c r="L114" s="28">
        <f>'Proventos (port)'!L114</f>
        <v>2008</v>
      </c>
      <c r="M114" s="28">
        <f>'Proventos (port)'!M114</f>
        <v>2008</v>
      </c>
    </row>
    <row r="115" spans="1:13" x14ac:dyDescent="0.35">
      <c r="A115" s="21" t="str">
        <f t="shared" ref="A115:A122" si="6">LEFT(B120,9)</f>
        <v>2007</v>
      </c>
      <c r="B115" s="22" t="s">
        <v>43</v>
      </c>
      <c r="C115" s="23">
        <v>39639</v>
      </c>
      <c r="D115" s="23">
        <v>39646</v>
      </c>
      <c r="E115" s="24">
        <v>145000.10665083831</v>
      </c>
      <c r="F115" s="25">
        <v>0.97129699999999997</v>
      </c>
      <c r="G115" s="24"/>
      <c r="H115" s="26"/>
      <c r="I115" s="24"/>
      <c r="J115" s="27"/>
      <c r="L115" s="28">
        <f>'Proventos (port)'!L115</f>
        <v>2008</v>
      </c>
      <c r="M115" s="28">
        <f>'Proventos (port)'!M115</f>
        <v>2008</v>
      </c>
    </row>
    <row r="116" spans="1:13" x14ac:dyDescent="0.35">
      <c r="A116" s="21" t="str">
        <f t="shared" si="6"/>
        <v>Dividends</v>
      </c>
      <c r="B116" s="22" t="s">
        <v>42</v>
      </c>
      <c r="C116" s="23">
        <v>39639</v>
      </c>
      <c r="D116" s="23">
        <v>39646</v>
      </c>
      <c r="E116" s="24">
        <v>58311.331815339749</v>
      </c>
      <c r="F116" s="25">
        <v>0.39060400000000001</v>
      </c>
      <c r="G116" s="24"/>
      <c r="H116" s="26"/>
      <c r="I116" s="24"/>
      <c r="J116" s="27"/>
      <c r="L116" s="28">
        <f>'Proventos (port)'!L116</f>
        <v>2008</v>
      </c>
      <c r="M116" s="28">
        <f>'Proventos (port)'!M116</f>
        <v>2008</v>
      </c>
    </row>
    <row r="117" spans="1:13" x14ac:dyDescent="0.35">
      <c r="A117" s="21" t="str">
        <f t="shared" si="6"/>
        <v>IOE</v>
      </c>
      <c r="B117" s="22" t="s">
        <v>43</v>
      </c>
      <c r="C117" s="23">
        <v>39549</v>
      </c>
      <c r="D117" s="23">
        <v>39556</v>
      </c>
      <c r="E117" s="24">
        <v>67000.019423035526</v>
      </c>
      <c r="F117" s="25">
        <v>0.44880599999999998</v>
      </c>
      <c r="G117" s="24"/>
      <c r="H117" s="26"/>
      <c r="I117" s="24"/>
      <c r="J117" s="27"/>
      <c r="L117" s="28">
        <f>'Proventos (port)'!L117</f>
        <v>2008</v>
      </c>
      <c r="M117" s="28">
        <f>'Proventos (port)'!M117</f>
        <v>2008</v>
      </c>
    </row>
    <row r="118" spans="1:13" x14ac:dyDescent="0.35">
      <c r="A118" s="21" t="str">
        <f t="shared" si="6"/>
        <v>IOE</v>
      </c>
      <c r="B118" s="22" t="s">
        <v>42</v>
      </c>
      <c r="C118" s="23">
        <v>39539</v>
      </c>
      <c r="D118" s="23">
        <v>39556</v>
      </c>
      <c r="E118" s="24">
        <v>61530.962165416633</v>
      </c>
      <c r="F118" s="25">
        <v>0.41217100000000001</v>
      </c>
      <c r="G118" s="24"/>
      <c r="H118" s="26"/>
      <c r="I118" s="24"/>
      <c r="J118" s="27"/>
      <c r="L118" s="28">
        <f>'Proventos (port)'!L118</f>
        <v>2008</v>
      </c>
      <c r="M118" s="28">
        <f>'Proventos (port)'!M118</f>
        <v>2008</v>
      </c>
    </row>
    <row r="119" spans="1:13" ht="16" thickBot="1" x14ac:dyDescent="0.4">
      <c r="A119" s="21" t="str">
        <f t="shared" si="6"/>
        <v>Dividends</v>
      </c>
      <c r="B119" s="22"/>
      <c r="C119" s="23"/>
      <c r="D119" s="23"/>
      <c r="E119" s="24"/>
      <c r="F119" s="25"/>
      <c r="G119" s="24"/>
      <c r="H119" s="26"/>
      <c r="I119" s="24"/>
      <c r="J119" s="27"/>
      <c r="L119" s="28"/>
      <c r="M119" s="28"/>
    </row>
    <row r="120" spans="1:13" ht="16" thickBot="1" x14ac:dyDescent="0.4">
      <c r="A120" s="21" t="str">
        <f t="shared" si="6"/>
        <v>Dividends</v>
      </c>
      <c r="B120" s="8">
        <v>2007</v>
      </c>
      <c r="C120" s="9"/>
      <c r="D120" s="9"/>
      <c r="E120" s="10">
        <f>SUM(E121:E127)</f>
        <v>907495.96500854043</v>
      </c>
      <c r="F120" s="11">
        <f>SUM(F121:F127)</f>
        <v>6.0789480000000005</v>
      </c>
      <c r="G120" s="10">
        <v>855483</v>
      </c>
      <c r="H120" s="12">
        <f>E120/(G120)</f>
        <v>1.0607995308013607</v>
      </c>
      <c r="I120" s="10">
        <f>G120</f>
        <v>855483</v>
      </c>
      <c r="J120" s="13">
        <f>E120/I120</f>
        <v>1.0607995308013607</v>
      </c>
      <c r="L120" s="28"/>
      <c r="M120" s="28"/>
    </row>
    <row r="121" spans="1:13" x14ac:dyDescent="0.35">
      <c r="A121" s="21" t="str">
        <f t="shared" si="6"/>
        <v>Dividends</v>
      </c>
      <c r="B121" s="39" t="s">
        <v>43</v>
      </c>
      <c r="C121" s="50">
        <v>39469</v>
      </c>
      <c r="D121" s="50">
        <v>39489</v>
      </c>
      <c r="E121" s="42">
        <v>170000.12503891392</v>
      </c>
      <c r="F121" s="43">
        <v>1.1387620000000001</v>
      </c>
      <c r="G121" s="42"/>
      <c r="H121" s="44"/>
      <c r="I121" s="42"/>
      <c r="J121" s="45"/>
      <c r="L121" s="28">
        <f>'Proventos (port)'!L121</f>
        <v>2008</v>
      </c>
      <c r="M121" s="28">
        <f>'Proventos (port)'!M121</f>
        <v>2007</v>
      </c>
    </row>
    <row r="122" spans="1:13" x14ac:dyDescent="0.35">
      <c r="A122" s="21" t="str">
        <f t="shared" si="6"/>
        <v>Dividends</v>
      </c>
      <c r="B122" s="39" t="s">
        <v>42</v>
      </c>
      <c r="C122" s="50">
        <v>39429</v>
      </c>
      <c r="D122" s="50">
        <v>39465</v>
      </c>
      <c r="E122" s="42">
        <v>39122.531985127716</v>
      </c>
      <c r="F122" s="43">
        <v>0.26206600000000002</v>
      </c>
      <c r="G122" s="42"/>
      <c r="H122" s="44"/>
      <c r="I122" s="42"/>
      <c r="J122" s="45"/>
      <c r="L122" s="28">
        <f>'Proventos (port)'!L122</f>
        <v>2008</v>
      </c>
      <c r="M122" s="28">
        <f>'Proventos (port)'!M122</f>
        <v>2007</v>
      </c>
    </row>
    <row r="123" spans="1:13" x14ac:dyDescent="0.35">
      <c r="A123" s="21"/>
      <c r="B123" s="39" t="s">
        <v>42</v>
      </c>
      <c r="C123" s="50">
        <v>39392</v>
      </c>
      <c r="D123" s="50">
        <v>39405</v>
      </c>
      <c r="E123" s="42">
        <v>199614.84242924183</v>
      </c>
      <c r="F123" s="43">
        <v>1.3371390000000001</v>
      </c>
      <c r="G123" s="42"/>
      <c r="H123" s="44"/>
      <c r="I123" s="42"/>
      <c r="J123" s="45"/>
      <c r="L123" s="28">
        <f>'Proventos (port)'!L123</f>
        <v>2007</v>
      </c>
      <c r="M123" s="28">
        <f>'Proventos (port)'!M123</f>
        <v>2007</v>
      </c>
    </row>
    <row r="124" spans="1:13" x14ac:dyDescent="0.35">
      <c r="A124" s="21" t="str">
        <f>LEFT(B129,9)</f>
        <v>2006</v>
      </c>
      <c r="B124" s="39" t="s">
        <v>43</v>
      </c>
      <c r="C124" s="50">
        <v>39357</v>
      </c>
      <c r="D124" s="50">
        <v>39405</v>
      </c>
      <c r="E124" s="42">
        <v>13347.127125206298</v>
      </c>
      <c r="F124" s="43">
        <v>8.9407E-2</v>
      </c>
      <c r="G124" s="42"/>
      <c r="H124" s="44"/>
      <c r="I124" s="42"/>
      <c r="J124" s="45"/>
      <c r="L124" s="28">
        <f>'Proventos (port)'!L124</f>
        <v>2007</v>
      </c>
      <c r="M124" s="28">
        <f>'Proventos (port)'!M124</f>
        <v>2007</v>
      </c>
    </row>
    <row r="125" spans="1:13" x14ac:dyDescent="0.35">
      <c r="A125" s="21" t="str">
        <f>LEFT(B130,9)</f>
        <v>Dividends</v>
      </c>
      <c r="B125" s="39" t="s">
        <v>43</v>
      </c>
      <c r="C125" s="50">
        <v>39357</v>
      </c>
      <c r="D125" s="50">
        <v>39372</v>
      </c>
      <c r="E125" s="42">
        <v>160164.33122219547</v>
      </c>
      <c r="F125" s="43">
        <v>1.0728759999999999</v>
      </c>
      <c r="G125" s="42"/>
      <c r="H125" s="44"/>
      <c r="I125" s="42"/>
      <c r="J125" s="45"/>
      <c r="L125" s="28">
        <f>'Proventos (port)'!L125</f>
        <v>2007</v>
      </c>
      <c r="M125" s="28">
        <f>'Proventos (port)'!M125</f>
        <v>2007</v>
      </c>
    </row>
    <row r="126" spans="1:13" x14ac:dyDescent="0.35">
      <c r="A126" s="21" t="str">
        <f>LEFT(B131,9)</f>
        <v>IOE</v>
      </c>
      <c r="B126" s="39" t="s">
        <v>43</v>
      </c>
      <c r="C126" s="50">
        <v>39274</v>
      </c>
      <c r="D126" s="50">
        <v>39281</v>
      </c>
      <c r="E126" s="42">
        <v>240246.94468839827</v>
      </c>
      <c r="F126" s="43">
        <v>1.6093170000000001</v>
      </c>
      <c r="G126" s="42"/>
      <c r="H126" s="44"/>
      <c r="I126" s="42"/>
      <c r="J126" s="45"/>
      <c r="L126" s="28">
        <f>'Proventos (port)'!L126</f>
        <v>2007</v>
      </c>
      <c r="M126" s="28">
        <f>'Proventos (port)'!M126</f>
        <v>2007</v>
      </c>
    </row>
    <row r="127" spans="1:13" x14ac:dyDescent="0.35">
      <c r="A127" s="21" t="str">
        <f>LEFT(B132,9)</f>
        <v>Dividends</v>
      </c>
      <c r="B127" s="39" t="s">
        <v>43</v>
      </c>
      <c r="C127" s="50">
        <v>39161</v>
      </c>
      <c r="D127" s="50">
        <v>39168</v>
      </c>
      <c r="E127" s="42">
        <v>85000.062519456958</v>
      </c>
      <c r="F127" s="43">
        <v>0.56938100000000003</v>
      </c>
      <c r="G127" s="42"/>
      <c r="H127" s="44"/>
      <c r="I127" s="42"/>
      <c r="J127" s="45"/>
      <c r="L127" s="28">
        <f>'Proventos (port)'!L127</f>
        <v>2007</v>
      </c>
      <c r="M127" s="28">
        <f>'Proventos (port)'!M127</f>
        <v>2007</v>
      </c>
    </row>
    <row r="128" spans="1:13" ht="16" thickBot="1" x14ac:dyDescent="0.4">
      <c r="A128" s="21"/>
      <c r="B128" s="39"/>
      <c r="C128" s="50"/>
      <c r="D128" s="50"/>
      <c r="E128" s="42"/>
      <c r="F128" s="43"/>
      <c r="G128" s="42"/>
      <c r="H128" s="44"/>
      <c r="I128" s="42"/>
      <c r="J128" s="45"/>
      <c r="L128" s="28"/>
      <c r="M128" s="28"/>
    </row>
    <row r="129" spans="1:13" ht="16" thickBot="1" x14ac:dyDescent="0.4">
      <c r="A129" s="21" t="str">
        <f>LEFT(B134,9)</f>
        <v>2005</v>
      </c>
      <c r="B129" s="8">
        <v>2006</v>
      </c>
      <c r="C129" s="9"/>
      <c r="D129" s="9"/>
      <c r="E129" s="10">
        <f>SUM(E130:E132)</f>
        <v>185075.52501443966</v>
      </c>
      <c r="F129" s="11">
        <f>SUM(F130:F132)</f>
        <v>1.239746</v>
      </c>
      <c r="G129" s="10">
        <v>117752</v>
      </c>
      <c r="H129" s="12">
        <f>E129/(G129)</f>
        <v>1.5717399705689896</v>
      </c>
      <c r="I129" s="10">
        <f>G129</f>
        <v>117752</v>
      </c>
      <c r="J129" s="13">
        <f>E129/I129</f>
        <v>1.5717399705689896</v>
      </c>
      <c r="L129" s="28"/>
      <c r="M129" s="28"/>
    </row>
    <row r="130" spans="1:13" x14ac:dyDescent="0.35">
      <c r="A130" s="21" t="str">
        <f>LEFT(B135,9)</f>
        <v>IOE</v>
      </c>
      <c r="B130" s="22" t="s">
        <v>43</v>
      </c>
      <c r="C130" s="23">
        <v>39161</v>
      </c>
      <c r="D130" s="23">
        <v>39168</v>
      </c>
      <c r="E130" s="24">
        <v>60598.527836739471</v>
      </c>
      <c r="F130" s="25">
        <v>0.40592499999999998</v>
      </c>
      <c r="G130" s="24"/>
      <c r="H130" s="26"/>
      <c r="I130" s="24"/>
      <c r="J130" s="27"/>
      <c r="L130" s="28">
        <f>'Proventos (port)'!L130</f>
        <v>2007</v>
      </c>
      <c r="M130" s="28">
        <f>'Proventos (port)'!M130</f>
        <v>2006</v>
      </c>
    </row>
    <row r="131" spans="1:13" x14ac:dyDescent="0.35">
      <c r="A131" s="21" t="str">
        <f>LEFT(B136,9)</f>
        <v>IOE</v>
      </c>
      <c r="B131" s="22" t="s">
        <v>42</v>
      </c>
      <c r="C131" s="23">
        <v>38863</v>
      </c>
      <c r="D131" s="23">
        <v>39168</v>
      </c>
      <c r="E131" s="24">
        <v>27177.042053637368</v>
      </c>
      <c r="F131" s="25">
        <v>0.18204799999999999</v>
      </c>
      <c r="G131" s="24"/>
      <c r="H131" s="26"/>
      <c r="I131" s="24"/>
      <c r="J131" s="27"/>
      <c r="L131" s="28">
        <f>'Proventos (port)'!L131</f>
        <v>2007</v>
      </c>
      <c r="M131" s="28">
        <f>'Proventos (port)'!M131</f>
        <v>2006</v>
      </c>
    </row>
    <row r="132" spans="1:13" x14ac:dyDescent="0.35">
      <c r="A132" s="21" t="str">
        <f>LEFT(B137,9)</f>
        <v>IOE</v>
      </c>
      <c r="B132" s="22" t="s">
        <v>43</v>
      </c>
      <c r="C132" s="23">
        <v>38828</v>
      </c>
      <c r="D132" s="23">
        <v>38887</v>
      </c>
      <c r="E132" s="24">
        <v>97299.955124062821</v>
      </c>
      <c r="F132" s="25">
        <v>0.65177300000000005</v>
      </c>
      <c r="G132" s="24"/>
      <c r="H132" s="26"/>
      <c r="I132" s="24"/>
      <c r="J132" s="27"/>
      <c r="L132" s="28">
        <f>'Proventos (port)'!L132</f>
        <v>2006</v>
      </c>
      <c r="M132" s="28">
        <f>'Proventos (port)'!M132</f>
        <v>2006</v>
      </c>
    </row>
    <row r="133" spans="1:13" ht="16" thickBot="1" x14ac:dyDescent="0.4">
      <c r="A133" s="21"/>
      <c r="B133" s="22"/>
      <c r="C133" s="23"/>
      <c r="D133" s="23"/>
      <c r="E133" s="24"/>
      <c r="F133" s="25"/>
      <c r="G133" s="24"/>
      <c r="H133" s="26"/>
      <c r="I133" s="24"/>
      <c r="J133" s="27"/>
      <c r="L133" s="28"/>
      <c r="M133" s="28"/>
    </row>
    <row r="134" spans="1:13" ht="16" thickBot="1" x14ac:dyDescent="0.4">
      <c r="A134" s="21" t="str">
        <f>LEFT(B139,9)</f>
        <v>2004</v>
      </c>
      <c r="B134" s="8">
        <v>2005</v>
      </c>
      <c r="C134" s="9"/>
      <c r="D134" s="9"/>
      <c r="E134" s="10">
        <f>SUM(E135:E137)</f>
        <v>239353.77232392895</v>
      </c>
      <c r="F134" s="11">
        <f>SUM(F135:F137)</f>
        <v>1.603334</v>
      </c>
      <c r="G134" s="10">
        <v>468277</v>
      </c>
      <c r="H134" s="12">
        <f>E134/(G134)</f>
        <v>0.51113715242031732</v>
      </c>
      <c r="I134" s="10">
        <f>G134</f>
        <v>468277</v>
      </c>
      <c r="J134" s="13">
        <f>E134/I134</f>
        <v>0.51113715242031732</v>
      </c>
      <c r="L134" s="28"/>
      <c r="M134" s="28"/>
    </row>
    <row r="135" spans="1:13" x14ac:dyDescent="0.35">
      <c r="A135" s="21" t="str">
        <f>LEFT(B140,9)</f>
        <v>IOE</v>
      </c>
      <c r="B135" s="39" t="s">
        <v>42</v>
      </c>
      <c r="C135" s="50">
        <v>38715</v>
      </c>
      <c r="D135" s="50">
        <v>38730</v>
      </c>
      <c r="E135" s="42">
        <v>89999.91691203705</v>
      </c>
      <c r="F135" s="43">
        <v>0.60287299999999999</v>
      </c>
      <c r="G135" s="42"/>
      <c r="H135" s="44"/>
      <c r="I135" s="42"/>
      <c r="J135" s="45"/>
      <c r="L135" s="28">
        <f>'Proventos (port)'!L135</f>
        <v>2006</v>
      </c>
      <c r="M135" s="28">
        <f>'Proventos (port)'!M135</f>
        <v>2005</v>
      </c>
    </row>
    <row r="136" spans="1:13" x14ac:dyDescent="0.35">
      <c r="A136" s="21"/>
      <c r="B136" s="39" t="s">
        <v>42</v>
      </c>
      <c r="C136" s="50">
        <v>38618</v>
      </c>
      <c r="D136" s="50">
        <v>38632</v>
      </c>
      <c r="E136" s="42">
        <v>94999.92058965216</v>
      </c>
      <c r="F136" s="43">
        <v>0.63636599999999999</v>
      </c>
      <c r="G136" s="42"/>
      <c r="H136" s="44"/>
      <c r="I136" s="42"/>
      <c r="J136" s="45"/>
      <c r="L136" s="28">
        <f>'Proventos (port)'!L136</f>
        <v>2005</v>
      </c>
      <c r="M136" s="28">
        <f>'Proventos (port)'!M136</f>
        <v>2005</v>
      </c>
    </row>
    <row r="137" spans="1:13" x14ac:dyDescent="0.35">
      <c r="A137" s="21" t="str">
        <f>LEFT(B142,9)</f>
        <v>2003</v>
      </c>
      <c r="B137" s="39" t="s">
        <v>42</v>
      </c>
      <c r="C137" s="50">
        <v>38527</v>
      </c>
      <c r="D137" s="50">
        <v>38687</v>
      </c>
      <c r="E137" s="42">
        <v>54353.934822239724</v>
      </c>
      <c r="F137" s="43">
        <v>0.364095</v>
      </c>
      <c r="G137" s="42"/>
      <c r="H137" s="44"/>
      <c r="I137" s="42"/>
      <c r="J137" s="45"/>
      <c r="L137" s="28">
        <f>'Proventos (port)'!L137</f>
        <v>2005</v>
      </c>
      <c r="M137" s="28">
        <f>'Proventos (port)'!M137</f>
        <v>2005</v>
      </c>
    </row>
    <row r="138" spans="1:13" ht="16" thickBot="1" x14ac:dyDescent="0.4">
      <c r="A138" s="21" t="str">
        <f>LEFT(B143,9)</f>
        <v>IOE</v>
      </c>
      <c r="B138" s="39"/>
      <c r="C138" s="50"/>
      <c r="D138" s="50"/>
      <c r="E138" s="42"/>
      <c r="F138" s="43"/>
      <c r="G138" s="42"/>
      <c r="H138" s="44"/>
      <c r="I138" s="42"/>
      <c r="J138" s="45"/>
      <c r="L138" s="28"/>
      <c r="M138" s="28"/>
    </row>
    <row r="139" spans="1:13" ht="16" thickBot="1" x14ac:dyDescent="0.4">
      <c r="A139" s="21"/>
      <c r="B139" s="8">
        <v>2004</v>
      </c>
      <c r="C139" s="9"/>
      <c r="D139" s="9"/>
      <c r="E139" s="10">
        <f>SUM(E140)</f>
        <v>74999.995450212722</v>
      </c>
      <c r="F139" s="11">
        <f>SUM(F140)</f>
        <v>0.50239460000000002</v>
      </c>
      <c r="G139" s="10">
        <v>348778</v>
      </c>
      <c r="H139" s="12">
        <f>E139/(G139)</f>
        <v>0.21503648581680243</v>
      </c>
      <c r="I139" s="10">
        <f>G139</f>
        <v>348778</v>
      </c>
      <c r="J139" s="13">
        <f>E139/I139</f>
        <v>0.21503648581680243</v>
      </c>
      <c r="L139" s="28"/>
      <c r="M139" s="28"/>
    </row>
    <row r="140" spans="1:13" ht="14.5" customHeight="1" x14ac:dyDescent="0.35">
      <c r="A140" s="21" t="str">
        <f>LEFT(B145,9)</f>
        <v>2002</v>
      </c>
      <c r="B140" s="22" t="s">
        <v>42</v>
      </c>
      <c r="C140" s="23">
        <v>38324</v>
      </c>
      <c r="D140" s="23">
        <v>38526</v>
      </c>
      <c r="E140" s="24">
        <v>74999.995450212722</v>
      </c>
      <c r="F140" s="25">
        <v>0.50239460000000002</v>
      </c>
      <c r="G140" s="24"/>
      <c r="H140" s="26"/>
      <c r="I140" s="24"/>
      <c r="J140" s="27"/>
      <c r="L140" s="28">
        <f>'Proventos (port)'!L140</f>
        <v>2005</v>
      </c>
      <c r="M140" s="28">
        <f>'Proventos (port)'!M140</f>
        <v>2004</v>
      </c>
    </row>
    <row r="141" spans="1:13" ht="16" thickBot="1" x14ac:dyDescent="0.4">
      <c r="A141" s="21" t="str">
        <f>LEFT(B146,9)</f>
        <v>Dividends</v>
      </c>
      <c r="B141" s="22"/>
      <c r="C141" s="23"/>
      <c r="D141" s="23"/>
      <c r="E141" s="24"/>
      <c r="F141" s="25"/>
      <c r="G141" s="24"/>
      <c r="H141" s="26"/>
      <c r="I141" s="24"/>
      <c r="J141" s="27"/>
      <c r="L141" s="28"/>
      <c r="M141" s="28"/>
    </row>
    <row r="142" spans="1:13" ht="16" thickBot="1" x14ac:dyDescent="0.4">
      <c r="A142" s="21" t="str">
        <f>LEFT(B147,9)</f>
        <v>IOE</v>
      </c>
      <c r="B142" s="8">
        <v>2003</v>
      </c>
      <c r="C142" s="9"/>
      <c r="D142" s="9"/>
      <c r="E142" s="10">
        <f>SUM(E143)</f>
        <v>147248.99613225434</v>
      </c>
      <c r="F142" s="11">
        <f>SUM(F143)</f>
        <v>0.98636140000000005</v>
      </c>
      <c r="G142" s="10">
        <v>222376</v>
      </c>
      <c r="H142" s="12">
        <f>E142/(G142)</f>
        <v>0.66216226630686015</v>
      </c>
      <c r="I142" s="10">
        <f>G142</f>
        <v>222376</v>
      </c>
      <c r="J142" s="13">
        <f>E142/I142</f>
        <v>0.66216226630686015</v>
      </c>
      <c r="L142" s="28"/>
      <c r="M142" s="28"/>
    </row>
    <row r="143" spans="1:13" x14ac:dyDescent="0.35">
      <c r="A143" s="21" t="str">
        <f>LEFT(B148,9)</f>
        <v>IOE</v>
      </c>
      <c r="B143" s="39" t="s">
        <v>42</v>
      </c>
      <c r="C143" s="50">
        <v>37883</v>
      </c>
      <c r="D143" s="50">
        <v>38159</v>
      </c>
      <c r="E143" s="42">
        <v>147248.99613225434</v>
      </c>
      <c r="F143" s="43">
        <v>0.98636140000000005</v>
      </c>
      <c r="G143" s="42"/>
      <c r="H143" s="44"/>
      <c r="I143" s="42"/>
      <c r="J143" s="45"/>
      <c r="L143" s="28">
        <f>'Proventos (port)'!L143</f>
        <v>2004</v>
      </c>
      <c r="M143" s="28">
        <f>'Proventos (port)'!M143</f>
        <v>2003</v>
      </c>
    </row>
    <row r="144" spans="1:13" ht="16" thickBot="1" x14ac:dyDescent="0.4">
      <c r="A144" s="21" t="str">
        <f>LEFT(B149,9)</f>
        <v>IOE</v>
      </c>
      <c r="B144" s="73"/>
      <c r="C144" s="74"/>
      <c r="D144" s="75"/>
      <c r="E144" s="42"/>
      <c r="F144" s="43"/>
      <c r="G144" s="42"/>
      <c r="H144" s="44"/>
      <c r="I144" s="42"/>
      <c r="J144" s="45"/>
      <c r="L144" s="28"/>
      <c r="M144" s="28"/>
    </row>
    <row r="145" spans="1:13" ht="16" thickBot="1" x14ac:dyDescent="0.4">
      <c r="A145" s="21"/>
      <c r="B145" s="8">
        <v>2002</v>
      </c>
      <c r="C145" s="9"/>
      <c r="D145" s="9"/>
      <c r="E145" s="10">
        <f>SUM(E146:E149)</f>
        <v>149134.83933702763</v>
      </c>
      <c r="F145" s="11">
        <f>SUM(F146:F149)</f>
        <v>0.99899389999999988</v>
      </c>
      <c r="G145" s="10">
        <v>168137</v>
      </c>
      <c r="H145" s="12">
        <f>E145/(G145)</f>
        <v>0.88698406262171703</v>
      </c>
      <c r="I145" s="10">
        <f>G145</f>
        <v>168137</v>
      </c>
      <c r="J145" s="13">
        <f>E145/I145</f>
        <v>0.88698406262171703</v>
      </c>
      <c r="L145" s="28"/>
      <c r="M145" s="28"/>
    </row>
    <row r="146" spans="1:13" x14ac:dyDescent="0.35">
      <c r="B146" s="22" t="s">
        <v>43</v>
      </c>
      <c r="C146" s="23">
        <v>37737</v>
      </c>
      <c r="D146" s="23">
        <v>37796</v>
      </c>
      <c r="E146" s="24">
        <v>12782.068339187104</v>
      </c>
      <c r="F146" s="25">
        <v>8.5621900000000001E-2</v>
      </c>
      <c r="G146" s="24"/>
      <c r="H146" s="26"/>
      <c r="I146" s="24"/>
      <c r="J146" s="27"/>
      <c r="L146" s="28">
        <f>'Proventos (port)'!L146</f>
        <v>2003</v>
      </c>
      <c r="M146" s="28">
        <f>'Proventos (port)'!M146</f>
        <v>2002</v>
      </c>
    </row>
    <row r="147" spans="1:13" x14ac:dyDescent="0.35">
      <c r="B147" s="22" t="s">
        <v>42</v>
      </c>
      <c r="C147" s="23">
        <v>37618</v>
      </c>
      <c r="D147" s="23">
        <v>37666</v>
      </c>
      <c r="E147" s="24">
        <v>49999.88749111614</v>
      </c>
      <c r="F147" s="25">
        <v>0.33492899999999998</v>
      </c>
      <c r="G147" s="24"/>
      <c r="H147" s="26"/>
      <c r="I147" s="24"/>
      <c r="J147" s="27"/>
      <c r="L147" s="28">
        <f>'Proventos (port)'!L147</f>
        <v>2003</v>
      </c>
      <c r="M147" s="28">
        <f>'Proventos (port)'!M147</f>
        <v>2002</v>
      </c>
    </row>
    <row r="148" spans="1:13" x14ac:dyDescent="0.35">
      <c r="B148" s="22" t="s">
        <v>42</v>
      </c>
      <c r="C148" s="23">
        <v>37533</v>
      </c>
      <c r="D148" s="23">
        <v>37582</v>
      </c>
      <c r="E148" s="24">
        <v>31999.993679729734</v>
      </c>
      <c r="F148" s="25">
        <v>0.21435499999999999</v>
      </c>
      <c r="G148" s="24"/>
      <c r="H148" s="26"/>
      <c r="I148" s="24"/>
      <c r="J148" s="27"/>
      <c r="L148" s="28">
        <f>'Proventos (port)'!L148</f>
        <v>2002</v>
      </c>
      <c r="M148" s="28">
        <f>'Proventos (port)'!M148</f>
        <v>2002</v>
      </c>
    </row>
    <row r="149" spans="1:13" x14ac:dyDescent="0.35">
      <c r="B149" s="22" t="s">
        <v>42</v>
      </c>
      <c r="C149" s="23">
        <v>37442</v>
      </c>
      <c r="D149" s="23">
        <v>37491</v>
      </c>
      <c r="E149" s="24">
        <v>54352.889826994666</v>
      </c>
      <c r="F149" s="25">
        <v>0.36408800000000002</v>
      </c>
      <c r="G149" s="24"/>
      <c r="H149" s="26"/>
      <c r="I149" s="24"/>
      <c r="J149" s="27"/>
      <c r="L149" s="28">
        <f>'Proventos (port)'!L149</f>
        <v>2002</v>
      </c>
      <c r="M149" s="28">
        <f>'Proventos (port)'!M149</f>
        <v>2002</v>
      </c>
    </row>
    <row r="150" spans="1:13" x14ac:dyDescent="0.35">
      <c r="B150" s="76"/>
      <c r="C150" s="77"/>
      <c r="D150" s="77"/>
      <c r="E150" s="78"/>
      <c r="F150" s="79"/>
      <c r="G150" s="78"/>
      <c r="H150" s="80"/>
      <c r="I150" s="78"/>
      <c r="J150" s="81"/>
    </row>
    <row r="151" spans="1:13" x14ac:dyDescent="0.35">
      <c r="B151" s="82" t="s">
        <v>46</v>
      </c>
      <c r="C151" s="83"/>
      <c r="D151" s="83"/>
      <c r="E151" s="84"/>
      <c r="F151" s="85"/>
      <c r="G151" s="84"/>
      <c r="H151" s="83"/>
      <c r="I151" s="84"/>
      <c r="J151" s="83"/>
    </row>
    <row r="152" spans="1:13" x14ac:dyDescent="0.35">
      <c r="B152" s="82" t="s">
        <v>47</v>
      </c>
    </row>
    <row r="153" spans="1:13" x14ac:dyDescent="0.35">
      <c r="B153" s="82" t="s">
        <v>27</v>
      </c>
    </row>
  </sheetData>
  <mergeCells count="1">
    <mergeCell ref="B1:B4"/>
  </mergeCells>
  <hyperlinks>
    <hyperlink ref="F2" location="Menu!A1" display="→Menu←" xr:uid="{A975C5DC-05FF-475C-B3BF-94C8B28E626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A9B5-428E-4F23-8431-75F9EC956B7A}">
  <dimension ref="B3:I14"/>
  <sheetViews>
    <sheetView showGridLines="0" zoomScale="110" zoomScaleNormal="110" workbookViewId="0">
      <selection activeCell="F17" sqref="F17"/>
    </sheetView>
  </sheetViews>
  <sheetFormatPr defaultRowHeight="14.5" x14ac:dyDescent="0.35"/>
  <cols>
    <col min="2" max="3" width="15.54296875" style="136" customWidth="1"/>
    <col min="4" max="4" width="20.36328125" style="136" customWidth="1"/>
    <col min="5" max="7" width="15.54296875" style="136" customWidth="1"/>
    <col min="8" max="8" width="21.453125" style="136" customWidth="1"/>
    <col min="9" max="9" width="15.54296875" style="136" customWidth="1"/>
    <col min="15" max="15" width="11.36328125" customWidth="1"/>
  </cols>
  <sheetData>
    <row r="3" spans="2:9" ht="32.5" customHeight="1" x14ac:dyDescent="0.35">
      <c r="B3" s="122" t="s">
        <v>54</v>
      </c>
      <c r="C3" s="122" t="s">
        <v>55</v>
      </c>
      <c r="D3" s="122" t="s">
        <v>56</v>
      </c>
      <c r="E3" s="122" t="s">
        <v>57</v>
      </c>
      <c r="F3" s="122" t="s">
        <v>58</v>
      </c>
      <c r="G3" s="122" t="s">
        <v>59</v>
      </c>
      <c r="H3" s="122" t="s">
        <v>60</v>
      </c>
      <c r="I3" s="123" t="s">
        <v>61</v>
      </c>
    </row>
    <row r="4" spans="2:9" ht="17.5" customHeight="1" x14ac:dyDescent="0.35">
      <c r="B4" s="124" t="s">
        <v>62</v>
      </c>
      <c r="C4" s="125">
        <v>45929</v>
      </c>
      <c r="D4" s="126" t="s">
        <v>63</v>
      </c>
      <c r="E4" s="127">
        <v>45960</v>
      </c>
      <c r="F4" s="127">
        <v>45961</v>
      </c>
      <c r="G4" s="127">
        <v>45989</v>
      </c>
      <c r="H4" s="128">
        <v>148.24799999999999</v>
      </c>
      <c r="I4" s="129">
        <v>0.22489999999999999</v>
      </c>
    </row>
    <row r="5" spans="2:9" ht="17.5" customHeight="1" x14ac:dyDescent="0.35">
      <c r="B5" s="124"/>
      <c r="C5" s="125"/>
      <c r="D5" s="126"/>
      <c r="E5" s="127">
        <v>45985</v>
      </c>
      <c r="F5" s="127">
        <v>45986</v>
      </c>
      <c r="G5" s="127">
        <v>46003</v>
      </c>
      <c r="H5" s="128">
        <v>148.24799999999999</v>
      </c>
      <c r="I5" s="129">
        <v>0.22489999999999999</v>
      </c>
    </row>
    <row r="6" spans="2:9" ht="17.5" customHeight="1" x14ac:dyDescent="0.35">
      <c r="B6" s="130"/>
      <c r="C6" s="131"/>
      <c r="D6" s="132"/>
      <c r="E6" s="127">
        <v>46008</v>
      </c>
      <c r="F6" s="127">
        <v>46009</v>
      </c>
      <c r="G6" s="127">
        <v>46009</v>
      </c>
      <c r="H6" s="128">
        <v>148.24799999999999</v>
      </c>
      <c r="I6" s="129">
        <v>0.22489999999999999</v>
      </c>
    </row>
    <row r="7" spans="2:9" x14ac:dyDescent="0.35">
      <c r="B7" s="133" t="s">
        <v>23</v>
      </c>
      <c r="C7" s="133"/>
      <c r="D7" s="133"/>
      <c r="E7" s="133"/>
      <c r="F7" s="133"/>
      <c r="G7" s="134"/>
      <c r="H7" s="135">
        <f>SUM(H4:H6)</f>
        <v>444.74399999999997</v>
      </c>
      <c r="I7" s="135">
        <f>SUM(I4:I6)</f>
        <v>0.67469999999999997</v>
      </c>
    </row>
    <row r="10" spans="2:9" ht="32" customHeight="1" x14ac:dyDescent="0.35">
      <c r="B10" s="122" t="s">
        <v>64</v>
      </c>
      <c r="C10" s="122" t="s">
        <v>65</v>
      </c>
      <c r="D10" s="122" t="s">
        <v>66</v>
      </c>
      <c r="E10" s="122" t="s">
        <v>67</v>
      </c>
      <c r="F10" s="122" t="s">
        <v>68</v>
      </c>
      <c r="G10" s="122" t="s">
        <v>30</v>
      </c>
      <c r="H10" s="122" t="s">
        <v>69</v>
      </c>
      <c r="I10" s="123" t="s">
        <v>70</v>
      </c>
    </row>
    <row r="11" spans="2:9" x14ac:dyDescent="0.35">
      <c r="B11" s="124" t="s">
        <v>71</v>
      </c>
      <c r="C11" s="125" t="s">
        <v>77</v>
      </c>
      <c r="D11" s="126" t="s">
        <v>72</v>
      </c>
      <c r="E11" s="127" t="s">
        <v>73</v>
      </c>
      <c r="F11" s="127" t="s">
        <v>75</v>
      </c>
      <c r="G11" s="127">
        <v>45989</v>
      </c>
      <c r="H11" s="128">
        <v>148.24799999999999</v>
      </c>
      <c r="I11" s="129">
        <v>0.22489999999999999</v>
      </c>
    </row>
    <row r="12" spans="2:9" x14ac:dyDescent="0.35">
      <c r="B12" s="124"/>
      <c r="C12" s="125"/>
      <c r="D12" s="126"/>
      <c r="E12" s="127">
        <v>45985</v>
      </c>
      <c r="F12" s="127">
        <v>45986</v>
      </c>
      <c r="G12" s="127">
        <v>46003</v>
      </c>
      <c r="H12" s="128">
        <v>148.24799999999999</v>
      </c>
      <c r="I12" s="129">
        <v>0.22489999999999999</v>
      </c>
    </row>
    <row r="13" spans="2:9" x14ac:dyDescent="0.35">
      <c r="B13" s="130"/>
      <c r="C13" s="131"/>
      <c r="D13" s="132"/>
      <c r="E13" s="127" t="s">
        <v>74</v>
      </c>
      <c r="F13" s="127" t="s">
        <v>76</v>
      </c>
      <c r="G13" s="127">
        <v>46009</v>
      </c>
      <c r="H13" s="128">
        <v>148.24799999999999</v>
      </c>
      <c r="I13" s="129">
        <v>0.22489999999999999</v>
      </c>
    </row>
    <row r="14" spans="2:9" x14ac:dyDescent="0.35">
      <c r="B14" s="133" t="s">
        <v>23</v>
      </c>
      <c r="C14" s="133"/>
      <c r="D14" s="133"/>
      <c r="E14" s="133"/>
      <c r="F14" s="133"/>
      <c r="G14" s="134"/>
      <c r="H14" s="135">
        <f>SUM(H11:H13)</f>
        <v>444.74399999999997</v>
      </c>
      <c r="I14" s="135">
        <f>SUM(I11:I13)</f>
        <v>0.67469999999999997</v>
      </c>
    </row>
  </sheetData>
  <mergeCells count="8">
    <mergeCell ref="B14:G14"/>
    <mergeCell ref="B4:B6"/>
    <mergeCell ref="C4:C6"/>
    <mergeCell ref="D4:D6"/>
    <mergeCell ref="B7:G7"/>
    <mergeCell ref="B11:B13"/>
    <mergeCell ref="C11:C13"/>
    <mergeCell ref="D11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Proventos (port)</vt:lpstr>
      <vt:lpstr>Proventos (eng)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Geromel</dc:creator>
  <cp:lastModifiedBy>Bruna Carolina Spirandeli Sakamoto</cp:lastModifiedBy>
  <dcterms:created xsi:type="dcterms:W3CDTF">2025-02-07T19:30:27Z</dcterms:created>
  <dcterms:modified xsi:type="dcterms:W3CDTF">2025-10-29T17:36:55Z</dcterms:modified>
</cp:coreProperties>
</file>