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A REDE\1. ADMINISTRATIVO\1.17. - Site\2026\1T26\Excel\"/>
    </mc:Choice>
  </mc:AlternateContent>
  <xr:revisionPtr revIDLastSave="0" documentId="13_ncr:1_{7B2E5156-B04C-4387-BEA1-0A1E37FD9513}" xr6:coauthVersionLast="47" xr6:coauthVersionMax="47" xr10:uidLastSave="{00000000-0000-0000-0000-000000000000}"/>
  <bookViews>
    <workbookView xWindow="-110" yWindow="-110" windowWidth="19420" windowHeight="11500" tabRatio="798" activeTab="6" xr2:uid="{73DD2C69-4862-4C10-BF77-291A00073D98}"/>
  </bookViews>
  <sheets>
    <sheet name="Concessões" sheetId="66" r:id="rId1"/>
    <sheet name="Concessions" sheetId="67" r:id="rId2"/>
    <sheet name="Concessões (tabela site)" sheetId="68" r:id="rId3"/>
    <sheet name="Concessions (tabela site)" sheetId="69" r:id="rId4"/>
    <sheet name="Capacidade Instalada" sheetId="70" r:id="rId5"/>
    <sheet name="Installed Capacity" sheetId="71" r:id="rId6"/>
    <sheet name="Crescimento" sheetId="72" r:id="rId7"/>
    <sheet name="Growth" sheetId="73" r:id="rId8"/>
  </sheets>
  <externalReferences>
    <externalReference r:id="rId9"/>
  </externalReferences>
  <definedNames>
    <definedName name="____B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3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3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B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3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3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123Graph_A" hidden="1">#REF!</definedName>
    <definedName name="__123Graph_ACOMPARA" hidden="1">#REF!</definedName>
    <definedName name="__123Graph_ACONSMED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B" hidden="1">#REF!</definedName>
    <definedName name="__123Graph_BCOMPARA" hidden="1">#REF!</definedName>
    <definedName name="__123Graph_BPREVREALI" hidden="1">#REF!</definedName>
    <definedName name="__123Graph_CPREVREALI" hidden="1">#REF!</definedName>
    <definedName name="__123Graph_D" hidden="1">#REF!</definedName>
    <definedName name="__123Graph_DCOMPARA" hidden="1">#REF!</definedName>
    <definedName name="__123Graph_DPREVREALI" hidden="1">#REF!</definedName>
    <definedName name="__123Graph_EPREVREALI" hidden="1">#REF!</definedName>
    <definedName name="__123Graph_F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0__123Graph_CCHART_1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2__123Graph_LBL_ACHART_1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B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3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e1" localSheetId="3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Fill" hidden="1">#REF!</definedName>
    <definedName name="_xlnm._FilterDatabase" localSheetId="1" hidden="1">Concessions!$B$10:$U$45</definedName>
    <definedName name="_xlnm._FilterDatabase" localSheetId="3" hidden="1">'Concessions (tabela site)'!$B$10:$XFD$46</definedName>
    <definedName name="_xlnm._FilterDatabase" localSheetId="0" hidden="1">Concessões!$A$10:$AB$46</definedName>
    <definedName name="_xlnm._FilterDatabase" localSheetId="2" hidden="1">'Concessões (tabela site)'!$B$10:$L$46</definedName>
    <definedName name="_xlnm._FilterDatabase" localSheetId="6" hidden="1">Crescimento!$B$11:$T$12</definedName>
    <definedName name="_xlnm._FilterDatabase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A" hidden="1">#REF!</definedName>
    <definedName name="aaa" localSheetId="1" hidden="1">{"'MAR'!$B$2:$Q$29","'Resumo Mensal - Consumo 2002'!$B$2:$O$29","'Resumo Mensal - Clientes 2002'!$B$2:$O$29","'Resumo Anual - Consumo'!$B$2:$H$29"}</definedName>
    <definedName name="aaa" localSheetId="3" hidden="1">{"'MAR'!$B$2:$Q$29","'Resumo Mensal - Consumo 2002'!$B$2:$O$29","'Resumo Mensal - Clientes 2002'!$B$2:$O$29","'Resumo Anual - Consumo'!$B$2:$H$29"}</definedName>
    <definedName name="aaa" localSheetId="0" hidden="1">{"'MAR'!$B$2:$Q$29","'Resumo Mensal - Consumo 2002'!$B$2:$O$29","'Resumo Mensal - Clientes 2002'!$B$2:$O$29","'Resumo Anual - Consumo'!$B$2:$H$29"}</definedName>
    <definedName name="aaa" localSheetId="2" hidden="1">{"'MAR'!$B$2:$Q$29","'Resumo Mensal - Consumo 2002'!$B$2:$O$29","'Resumo Mensal - Clientes 2002'!$B$2:$O$29","'Resumo Anual - Consumo'!$B$2:$H$29"}</definedName>
    <definedName name="aaa" hidden="1">{"'MAR'!$B$2:$Q$29","'Resumo Mensal - Consumo 2002'!$B$2:$O$29","'Resumo Mensal - Clientes 2002'!$B$2:$O$29","'Resumo Anual - Consumo'!$B$2:$H$29"}</definedName>
    <definedName name="aaaa" localSheetId="1" hidden="1">{#N/A,#N/A,FALSE,"Pag.01"}</definedName>
    <definedName name="aaaa" localSheetId="3" hidden="1">{#N/A,#N/A,FALSE,"Pag.01"}</definedName>
    <definedName name="aaaa" localSheetId="0" hidden="1">{#N/A,#N/A,FALSE,"Pag.01"}</definedName>
    <definedName name="aaaa" localSheetId="2" hidden="1">{#N/A,#N/A,FALSE,"Pag.01"}</definedName>
    <definedName name="aaaa" hidden="1">{#N/A,#N/A,FALSE,"Pag.01"}</definedName>
    <definedName name="AAAAA" hidden="1">#REF!</definedName>
    <definedName name="AAAAAA" hidden="1">#REF!</definedName>
    <definedName name="AAAAAAAAA" hidden="1">#REF!</definedName>
    <definedName name="AAXXX" localSheetId="3" hidden="1">{"'Sheet1'!$A$1:$G$85"}</definedName>
    <definedName name="AAXXX" hidden="1">{"'Sheet1'!$A$1:$G$85"}</definedName>
    <definedName name="anscount" hidden="1">3</definedName>
    <definedName name="AS2DocOpenMode" hidden="1">"AS2DocumentEdit"</definedName>
    <definedName name="BANCO1" hidden="1">#REF!</definedName>
    <definedName name="bbb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3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ost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sagasgdfagadfgdaf" localSheetId="3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equi" localSheetId="1" hidden="1">{#N/A,#N/A,FALSE,"Pag.01"}</definedName>
    <definedName name="equi" localSheetId="3" hidden="1">{#N/A,#N/A,FALSE,"Pag.01"}</definedName>
    <definedName name="equi" localSheetId="0" hidden="1">{#N/A,#N/A,FALSE,"Pag.01"}</definedName>
    <definedName name="equi" localSheetId="2" hidden="1">{#N/A,#N/A,FALSE,"Pag.01"}</definedName>
    <definedName name="equi" hidden="1">{#N/A,#N/A,FALSE,"Pag.01"}</definedName>
    <definedName name="F" hidden="1">#REF!</definedName>
    <definedName name="FCL" localSheetId="3" hidden="1">{"'Sheet1'!$A$1:$G$85"}</definedName>
    <definedName name="FCL" hidden="1">{"'Sheet1'!$A$1:$G$85"}</definedName>
    <definedName name="ff" localSheetId="3" hidden="1">{#N/A,#N/A,FALSE,"ENERGIA";#N/A,#N/A,FALSE,"PERDIDAS";#N/A,#N/A,FALSE,"CLIENTES";#N/A,#N/A,FALSE,"ESTADO";#N/A,#N/A,FALSE,"TECNICA"}</definedName>
    <definedName name="ff" hidden="1">{#N/A,#N/A,FALSE,"ENERGIA";#N/A,#N/A,FALSE,"PERDIDAS";#N/A,#N/A,FALSE,"CLIENTES";#N/A,#N/A,FALSE,"ESTADO";#N/A,#N/A,FALSE,"TECNICA"}</definedName>
    <definedName name="fffffffffff" localSheetId="3" hidden="1">{"'Sheet1'!$A$1:$G$85"}</definedName>
    <definedName name="fffffffffff" hidden="1">{"'Sheet1'!$A$1:$G$85"}</definedName>
    <definedName name="fx" localSheetId="3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gggg" localSheetId="3" hidden="1">{"'Sheet1'!$A$1:$G$85"}</definedName>
    <definedName name="gggg" hidden="1">{"'Sheet1'!$A$1:$G$85"}</definedName>
    <definedName name="HTML_CodePage" hidden="1">1252</definedName>
    <definedName name="HTML_Control" localSheetId="3" hidden="1">{"'1998'!$B$2:$O$16"}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m" localSheetId="3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nf" localSheetId="1" hidden="1">{"'Dados Gerais'!$A$1:$M$37"}</definedName>
    <definedName name="inf" localSheetId="3" hidden="1">{"'Dados Gerais'!$A$1:$M$37"}</definedName>
    <definedName name="inf" localSheetId="0" hidden="1">{"'Dados Gerais'!$A$1:$M$37"}</definedName>
    <definedName name="inf" localSheetId="2" hidden="1">{"'Dados Gerais'!$A$1:$M$37"}</definedName>
    <definedName name="inf" hidden="1">{"'Dados Gerais'!$A$1:$M$37"}</definedName>
    <definedName name="jjj" localSheetId="3" hidden="1">{"'Sheet1'!$A$1:$G$85"}</definedName>
    <definedName name="jjj" hidden="1">{"'Sheet1'!$A$1:$G$85"}</definedName>
    <definedName name="limcount" hidden="1">1</definedName>
    <definedName name="men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pp" localSheetId="3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RB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3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s" hidden="1">#REF!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  <definedName name="teste2" hidden="1">#REF!</definedName>
    <definedName name="u" localSheetId="1" hidden="1">{#N/A,#N/A,FALSE,"Pag.01"}</definedName>
    <definedName name="u" localSheetId="3" hidden="1">{#N/A,#N/A,FALSE,"Pag.01"}</definedName>
    <definedName name="u" localSheetId="0" hidden="1">{#N/A,#N/A,FALSE,"Pag.01"}</definedName>
    <definedName name="u" localSheetId="2" hidden="1">{#N/A,#N/A,FALSE,"Pag.01"}</definedName>
    <definedName name="u" hidden="1">{#N/A,#N/A,FALSE,"Pag.01"}</definedName>
    <definedName name="wacc" localSheetId="1" hidden="1">{"'Sheet1'!$A$1:$G$85"}</definedName>
    <definedName name="wacc" localSheetId="3" hidden="1">{"'Sheet1'!$A$1:$G$85"}</definedName>
    <definedName name="wacc" localSheetId="0" hidden="1">{"'Sheet1'!$A$1:$G$85"}</definedName>
    <definedName name="wacc" localSheetId="2" hidden="1">{"'Sheet1'!$A$1:$G$85"}</definedName>
    <definedName name="wacc" hidden="1">{"'Sheet1'!$A$1:$G$85"}</definedName>
    <definedName name="wrn.INFMES." localSheetId="3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MENSUAL.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localSheetId="1" hidden="1">{#N/A,#N/A,FALSE,"Pag.01"}</definedName>
    <definedName name="wrn.pag.00" localSheetId="3" hidden="1">{#N/A,#N/A,FALSE,"Pag.01"}</definedName>
    <definedName name="wrn.pag.00" localSheetId="0" hidden="1">{#N/A,#N/A,FALSE,"Pag.01"}</definedName>
    <definedName name="wrn.pag.00" localSheetId="2" hidden="1">{#N/A,#N/A,FALSE,"Pag.01"}</definedName>
    <definedName name="wrn.pag.00" hidden="1">{#N/A,#N/A,FALSE,"Pag.01"}</definedName>
    <definedName name="wrn.pag.000" localSheetId="1" hidden="1">{#N/A,#N/A,FALSE,"Pag.01"}</definedName>
    <definedName name="wrn.pag.000" localSheetId="3" hidden="1">{#N/A,#N/A,FALSE,"Pag.01"}</definedName>
    <definedName name="wrn.pag.000" localSheetId="0" hidden="1">{#N/A,#N/A,FALSE,"Pag.01"}</definedName>
    <definedName name="wrn.pag.000" localSheetId="2" hidden="1">{#N/A,#N/A,FALSE,"Pag.01"}</definedName>
    <definedName name="wrn.pag.000" hidden="1">{#N/A,#N/A,FALSE,"Pag.01"}</definedName>
    <definedName name="wrn.pag.0000" localSheetId="1" hidden="1">{#N/A,#N/A,FALSE,"Pag.01"}</definedName>
    <definedName name="wrn.pag.0000" localSheetId="3" hidden="1">{#N/A,#N/A,FALSE,"Pag.01"}</definedName>
    <definedName name="wrn.pag.0000" localSheetId="0" hidden="1">{#N/A,#N/A,FALSE,"Pag.01"}</definedName>
    <definedName name="wrn.pag.0000" localSheetId="2" hidden="1">{#N/A,#N/A,FALSE,"Pag.01"}</definedName>
    <definedName name="wrn.pag.0000" hidden="1">{#N/A,#N/A,FALSE,"Pag.01"}</definedName>
    <definedName name="wrn.pag.00000" localSheetId="1" hidden="1">{#N/A,#N/A,FALSE,"Pag.01"}</definedName>
    <definedName name="wrn.pag.00000" localSheetId="3" hidden="1">{#N/A,#N/A,FALSE,"Pag.01"}</definedName>
    <definedName name="wrn.pag.00000" localSheetId="0" hidden="1">{#N/A,#N/A,FALSE,"Pag.01"}</definedName>
    <definedName name="wrn.pag.00000" localSheetId="2" hidden="1">{#N/A,#N/A,FALSE,"Pag.01"}</definedName>
    <definedName name="wrn.pag.00000" hidden="1">{#N/A,#N/A,FALSE,"Pag.01"}</definedName>
    <definedName name="wrn.pag.00001" localSheetId="1" hidden="1">{#N/A,#N/A,FALSE,"Pag.01"}</definedName>
    <definedName name="wrn.pag.00001" localSheetId="3" hidden="1">{#N/A,#N/A,FALSE,"Pag.01"}</definedName>
    <definedName name="wrn.pag.00001" localSheetId="0" hidden="1">{#N/A,#N/A,FALSE,"Pag.01"}</definedName>
    <definedName name="wrn.pag.00001" localSheetId="2" hidden="1">{#N/A,#N/A,FALSE,"Pag.01"}</definedName>
    <definedName name="wrn.pag.00001" hidden="1">{#N/A,#N/A,FALSE,"Pag.01"}</definedName>
    <definedName name="wrn.pag.000012" localSheetId="1" hidden="1">{#N/A,#N/A,FALSE,"Pag.01"}</definedName>
    <definedName name="wrn.pag.000012" localSheetId="3" hidden="1">{#N/A,#N/A,FALSE,"Pag.01"}</definedName>
    <definedName name="wrn.pag.000012" localSheetId="0" hidden="1">{#N/A,#N/A,FALSE,"Pag.01"}</definedName>
    <definedName name="wrn.pag.000012" localSheetId="2" hidden="1">{#N/A,#N/A,FALSE,"Pag.01"}</definedName>
    <definedName name="wrn.pag.000012" hidden="1">{#N/A,#N/A,FALSE,"Pag.01"}</definedName>
    <definedName name="WRN.PAG.01" localSheetId="1" hidden="1">{#N/A,#N/A,FALSE,"Pag.01"}</definedName>
    <definedName name="WRN.PAG.01" localSheetId="3" hidden="1">{#N/A,#N/A,FALSE,"Pag.01"}</definedName>
    <definedName name="WRN.PAG.01" localSheetId="0" hidden="1">{#N/A,#N/A,FALSE,"Pag.01"}</definedName>
    <definedName name="WRN.PAG.01" localSheetId="2" hidden="1">{#N/A,#N/A,FALSE,"Pag.01"}</definedName>
    <definedName name="WRN.PAG.01" hidden="1">{#N/A,#N/A,FALSE,"Pag.01"}</definedName>
    <definedName name="wrn.pag.01." localSheetId="1" hidden="1">{#N/A,#N/A,FALSE,"Pag.01"}</definedName>
    <definedName name="wrn.pag.01." localSheetId="3" hidden="1">{#N/A,#N/A,FALSE,"Pag.01"}</definedName>
    <definedName name="wrn.pag.01." localSheetId="0" hidden="1">{#N/A,#N/A,FALSE,"Pag.01"}</definedName>
    <definedName name="wrn.pag.01." localSheetId="2" hidden="1">{#N/A,#N/A,FALSE,"Pag.01"}</definedName>
    <definedName name="wrn.pag.01." hidden="1">{#N/A,#N/A,FALSE,"Pag.01"}</definedName>
    <definedName name="wrn.pag.010" localSheetId="1" hidden="1">{#N/A,#N/A,FALSE,"Pag.01"}</definedName>
    <definedName name="wrn.pag.010" localSheetId="3" hidden="1">{#N/A,#N/A,FALSE,"Pag.01"}</definedName>
    <definedName name="wrn.pag.010" localSheetId="0" hidden="1">{#N/A,#N/A,FALSE,"Pag.01"}</definedName>
    <definedName name="wrn.pag.010" localSheetId="2" hidden="1">{#N/A,#N/A,FALSE,"Pag.01"}</definedName>
    <definedName name="wrn.pag.010" hidden="1">{#N/A,#N/A,FALSE,"Pag.01"}</definedName>
    <definedName name="wrn.pag.01000" localSheetId="1" hidden="1">{#N/A,#N/A,FALSE,"Pag.01"}</definedName>
    <definedName name="wrn.pag.01000" localSheetId="3" hidden="1">{#N/A,#N/A,FALSE,"Pag.01"}</definedName>
    <definedName name="wrn.pag.01000" localSheetId="0" hidden="1">{#N/A,#N/A,FALSE,"Pag.01"}</definedName>
    <definedName name="wrn.pag.01000" localSheetId="2" hidden="1">{#N/A,#N/A,FALSE,"Pag.01"}</definedName>
    <definedName name="wrn.pag.01000" hidden="1">{#N/A,#N/A,FALSE,"Pag.01"}</definedName>
    <definedName name="wrn.pag.010000" localSheetId="1" hidden="1">{#N/A,#N/A,FALSE,"Pag.01"}</definedName>
    <definedName name="wrn.pag.010000" localSheetId="3" hidden="1">{#N/A,#N/A,FALSE,"Pag.01"}</definedName>
    <definedName name="wrn.pag.010000" localSheetId="0" hidden="1">{#N/A,#N/A,FALSE,"Pag.01"}</definedName>
    <definedName name="wrn.pag.010000" localSheetId="2" hidden="1">{#N/A,#N/A,FALSE,"Pag.01"}</definedName>
    <definedName name="wrn.pag.010000" hidden="1">{#N/A,#N/A,FALSE,"Pag.01"}</definedName>
    <definedName name="wrn.pag.0100000" localSheetId="1" hidden="1">{#N/A,#N/A,FALSE,"Pag.01"}</definedName>
    <definedName name="wrn.pag.0100000" localSheetId="3" hidden="1">{#N/A,#N/A,FALSE,"Pag.01"}</definedName>
    <definedName name="wrn.pag.0100000" localSheetId="0" hidden="1">{#N/A,#N/A,FALSE,"Pag.01"}</definedName>
    <definedName name="wrn.pag.0100000" localSheetId="2" hidden="1">{#N/A,#N/A,FALSE,"Pag.01"}</definedName>
    <definedName name="wrn.pag.0100000" hidden="1">{#N/A,#N/A,FALSE,"Pag.01"}</definedName>
    <definedName name="wrn.pag.011" localSheetId="1" hidden="1">{#N/A,#N/A,FALSE,"Pag.01"}</definedName>
    <definedName name="wrn.pag.011" localSheetId="3" hidden="1">{#N/A,#N/A,FALSE,"Pag.01"}</definedName>
    <definedName name="wrn.pag.011" localSheetId="0" hidden="1">{#N/A,#N/A,FALSE,"Pag.01"}</definedName>
    <definedName name="wrn.pag.011" localSheetId="2" hidden="1">{#N/A,#N/A,FALSE,"Pag.01"}</definedName>
    <definedName name="wrn.pag.011" hidden="1">{#N/A,#N/A,FALSE,"Pag.01"}</definedName>
    <definedName name="wrn.pag.0110" localSheetId="1" hidden="1">{#N/A,#N/A,FALSE,"Pag.01"}</definedName>
    <definedName name="wrn.pag.0110" localSheetId="3" hidden="1">{#N/A,#N/A,FALSE,"Pag.01"}</definedName>
    <definedName name="wrn.pag.0110" localSheetId="0" hidden="1">{#N/A,#N/A,FALSE,"Pag.01"}</definedName>
    <definedName name="wrn.pag.0110" localSheetId="2" hidden="1">{#N/A,#N/A,FALSE,"Pag.01"}</definedName>
    <definedName name="wrn.pag.0110" hidden="1">{#N/A,#N/A,FALSE,"Pag.01"}</definedName>
    <definedName name="wrn.pag.0110000" localSheetId="1" hidden="1">{#N/A,#N/A,FALSE,"Pag.01"}</definedName>
    <definedName name="wrn.pag.0110000" localSheetId="3" hidden="1">{#N/A,#N/A,FALSE,"Pag.01"}</definedName>
    <definedName name="wrn.pag.0110000" localSheetId="0" hidden="1">{#N/A,#N/A,FALSE,"Pag.01"}</definedName>
    <definedName name="wrn.pag.0110000" localSheetId="2" hidden="1">{#N/A,#N/A,FALSE,"Pag.01"}</definedName>
    <definedName name="wrn.pag.0110000" hidden="1">{#N/A,#N/A,FALSE,"Pag.01"}</definedName>
    <definedName name="wrn.pag.01200" localSheetId="1" hidden="1">{#N/A,#N/A,FALSE,"Pag.01"}</definedName>
    <definedName name="wrn.pag.01200" localSheetId="3" hidden="1">{#N/A,#N/A,FALSE,"Pag.01"}</definedName>
    <definedName name="wrn.pag.01200" localSheetId="0" hidden="1">{#N/A,#N/A,FALSE,"Pag.01"}</definedName>
    <definedName name="wrn.pag.01200" localSheetId="2" hidden="1">{#N/A,#N/A,FALSE,"Pag.01"}</definedName>
    <definedName name="wrn.pag.01200" hidden="1">{#N/A,#N/A,FALSE,"Pag.01"}</definedName>
    <definedName name="wrn.pag.012547" localSheetId="1" hidden="1">{#N/A,#N/A,FALSE,"Pag.01"}</definedName>
    <definedName name="wrn.pag.012547" localSheetId="3" hidden="1">{#N/A,#N/A,FALSE,"Pag.01"}</definedName>
    <definedName name="wrn.pag.012547" localSheetId="0" hidden="1">{#N/A,#N/A,FALSE,"Pag.01"}</definedName>
    <definedName name="wrn.pag.012547" localSheetId="2" hidden="1">{#N/A,#N/A,FALSE,"Pag.01"}</definedName>
    <definedName name="wrn.pag.012547" hidden="1">{#N/A,#N/A,FALSE,"Pag.01"}</definedName>
    <definedName name="wrn.pag.013" localSheetId="1" hidden="1">{#N/A,#N/A,FALSE,"Pag.01"}</definedName>
    <definedName name="wrn.pag.013" localSheetId="3" hidden="1">{#N/A,#N/A,FALSE,"Pag.01"}</definedName>
    <definedName name="wrn.pag.013" localSheetId="0" hidden="1">{#N/A,#N/A,FALSE,"Pag.01"}</definedName>
    <definedName name="wrn.pag.013" localSheetId="2" hidden="1">{#N/A,#N/A,FALSE,"Pag.01"}</definedName>
    <definedName name="wrn.pag.013" hidden="1">{#N/A,#N/A,FALSE,"Pag.01"}</definedName>
    <definedName name="wrn.pag.0130" localSheetId="1" hidden="1">{#N/A,#N/A,FALSE,"Pag.01"}</definedName>
    <definedName name="wrn.pag.0130" localSheetId="3" hidden="1">{#N/A,#N/A,FALSE,"Pag.01"}</definedName>
    <definedName name="wrn.pag.0130" localSheetId="0" hidden="1">{#N/A,#N/A,FALSE,"Pag.01"}</definedName>
    <definedName name="wrn.pag.0130" localSheetId="2" hidden="1">{#N/A,#N/A,FALSE,"Pag.01"}</definedName>
    <definedName name="wrn.pag.0130" hidden="1">{#N/A,#N/A,FALSE,"Pag.01"}</definedName>
    <definedName name="wrn.pag.0130000" localSheetId="1" hidden="1">{#N/A,#N/A,FALSE,"Pag.01"}</definedName>
    <definedName name="wrn.pag.0130000" localSheetId="3" hidden="1">{#N/A,#N/A,FALSE,"Pag.01"}</definedName>
    <definedName name="wrn.pag.0130000" localSheetId="0" hidden="1">{#N/A,#N/A,FALSE,"Pag.01"}</definedName>
    <definedName name="wrn.pag.0130000" localSheetId="2" hidden="1">{#N/A,#N/A,FALSE,"Pag.01"}</definedName>
    <definedName name="wrn.pag.0130000" hidden="1">{#N/A,#N/A,FALSE,"Pag.01"}</definedName>
    <definedName name="wrn.pag.014" localSheetId="1" hidden="1">{#N/A,#N/A,FALSE,"Pag.01"}</definedName>
    <definedName name="wrn.pag.014" localSheetId="3" hidden="1">{#N/A,#N/A,FALSE,"Pag.01"}</definedName>
    <definedName name="wrn.pag.014" localSheetId="0" hidden="1">{#N/A,#N/A,FALSE,"Pag.01"}</definedName>
    <definedName name="wrn.pag.014" localSheetId="2" hidden="1">{#N/A,#N/A,FALSE,"Pag.01"}</definedName>
    <definedName name="wrn.pag.014" hidden="1">{#N/A,#N/A,FALSE,"Pag.01"}</definedName>
    <definedName name="wrn.pag.0140" localSheetId="1" hidden="1">{#N/A,#N/A,FALSE,"Pag.01"}</definedName>
    <definedName name="wrn.pag.0140" localSheetId="3" hidden="1">{#N/A,#N/A,FALSE,"Pag.01"}</definedName>
    <definedName name="wrn.pag.0140" localSheetId="0" hidden="1">{#N/A,#N/A,FALSE,"Pag.01"}</definedName>
    <definedName name="wrn.pag.0140" localSheetId="2" hidden="1">{#N/A,#N/A,FALSE,"Pag.01"}</definedName>
    <definedName name="wrn.pag.0140" hidden="1">{#N/A,#N/A,FALSE,"Pag.01"}</definedName>
    <definedName name="wrn.pag.0140000" localSheetId="1" hidden="1">{#N/A,#N/A,FALSE,"Pag.01"}</definedName>
    <definedName name="wrn.pag.0140000" localSheetId="3" hidden="1">{#N/A,#N/A,FALSE,"Pag.01"}</definedName>
    <definedName name="wrn.pag.0140000" localSheetId="0" hidden="1">{#N/A,#N/A,FALSE,"Pag.01"}</definedName>
    <definedName name="wrn.pag.0140000" localSheetId="2" hidden="1">{#N/A,#N/A,FALSE,"Pag.01"}</definedName>
    <definedName name="wrn.pag.0140000" hidden="1">{#N/A,#N/A,FALSE,"Pag.01"}</definedName>
    <definedName name="wrn.pag.0140563" localSheetId="1" hidden="1">{#N/A,#N/A,FALSE,"Pag.01"}</definedName>
    <definedName name="wrn.pag.0140563" localSheetId="3" hidden="1">{#N/A,#N/A,FALSE,"Pag.01"}</definedName>
    <definedName name="wrn.pag.0140563" localSheetId="0" hidden="1">{#N/A,#N/A,FALSE,"Pag.01"}</definedName>
    <definedName name="wrn.pag.0140563" localSheetId="2" hidden="1">{#N/A,#N/A,FALSE,"Pag.01"}</definedName>
    <definedName name="wrn.pag.0140563" hidden="1">{#N/A,#N/A,FALSE,"Pag.01"}</definedName>
    <definedName name="wrn.pag.0147456" localSheetId="1" hidden="1">{#N/A,#N/A,FALSE,"Pag.01"}</definedName>
    <definedName name="wrn.pag.0147456" localSheetId="3" hidden="1">{#N/A,#N/A,FALSE,"Pag.01"}</definedName>
    <definedName name="wrn.pag.0147456" localSheetId="0" hidden="1">{#N/A,#N/A,FALSE,"Pag.01"}</definedName>
    <definedName name="wrn.pag.0147456" localSheetId="2" hidden="1">{#N/A,#N/A,FALSE,"Pag.01"}</definedName>
    <definedName name="wrn.pag.0147456" hidden="1">{#N/A,#N/A,FALSE,"Pag.01"}</definedName>
    <definedName name="wrn.pag.015" localSheetId="1" hidden="1">{#N/A,#N/A,FALSE,"Pag.01"}</definedName>
    <definedName name="wrn.pag.015" localSheetId="3" hidden="1">{#N/A,#N/A,FALSE,"Pag.01"}</definedName>
    <definedName name="wrn.pag.015" localSheetId="0" hidden="1">{#N/A,#N/A,FALSE,"Pag.01"}</definedName>
    <definedName name="wrn.pag.015" localSheetId="2" hidden="1">{#N/A,#N/A,FALSE,"Pag.01"}</definedName>
    <definedName name="wrn.pag.015" hidden="1">{#N/A,#N/A,FALSE,"Pag.01"}</definedName>
    <definedName name="wrn.pag.0150" localSheetId="1" hidden="1">{#N/A,#N/A,FALSE,"Pag.01"}</definedName>
    <definedName name="wrn.pag.0150" localSheetId="3" hidden="1">{#N/A,#N/A,FALSE,"Pag.01"}</definedName>
    <definedName name="wrn.pag.0150" localSheetId="0" hidden="1">{#N/A,#N/A,FALSE,"Pag.01"}</definedName>
    <definedName name="wrn.pag.0150" localSheetId="2" hidden="1">{#N/A,#N/A,FALSE,"Pag.01"}</definedName>
    <definedName name="wrn.pag.0150" hidden="1">{#N/A,#N/A,FALSE,"Pag.01"}</definedName>
    <definedName name="wrn.pag.01500000" localSheetId="1" hidden="1">{#N/A,#N/A,FALSE,"Pag.01"}</definedName>
    <definedName name="wrn.pag.01500000" localSheetId="3" hidden="1">{#N/A,#N/A,FALSE,"Pag.01"}</definedName>
    <definedName name="wrn.pag.01500000" localSheetId="0" hidden="1">{#N/A,#N/A,FALSE,"Pag.01"}</definedName>
    <definedName name="wrn.pag.01500000" localSheetId="2" hidden="1">{#N/A,#N/A,FALSE,"Pag.01"}</definedName>
    <definedName name="wrn.pag.01500000" hidden="1">{#N/A,#N/A,FALSE,"Pag.01"}</definedName>
    <definedName name="wrn.pag.015320" localSheetId="1" hidden="1">{#N/A,#N/A,FALSE,"Pag.01"}</definedName>
    <definedName name="wrn.pag.015320" localSheetId="3" hidden="1">{#N/A,#N/A,FALSE,"Pag.01"}</definedName>
    <definedName name="wrn.pag.015320" localSheetId="0" hidden="1">{#N/A,#N/A,FALSE,"Pag.01"}</definedName>
    <definedName name="wrn.pag.015320" localSheetId="2" hidden="1">{#N/A,#N/A,FALSE,"Pag.01"}</definedName>
    <definedName name="wrn.pag.015320" hidden="1">{#N/A,#N/A,FALSE,"Pag.01"}</definedName>
    <definedName name="wrn.pag.015468" localSheetId="1" hidden="1">{#N/A,#N/A,FALSE,"Pag.01"}</definedName>
    <definedName name="wrn.pag.015468" localSheetId="3" hidden="1">{#N/A,#N/A,FALSE,"Pag.01"}</definedName>
    <definedName name="wrn.pag.015468" localSheetId="0" hidden="1">{#N/A,#N/A,FALSE,"Pag.01"}</definedName>
    <definedName name="wrn.pag.015468" localSheetId="2" hidden="1">{#N/A,#N/A,FALSE,"Pag.01"}</definedName>
    <definedName name="wrn.pag.015468" hidden="1">{#N/A,#N/A,FALSE,"Pag.01"}</definedName>
    <definedName name="wrn.pag.016" localSheetId="1" hidden="1">{#N/A,#N/A,FALSE,"Pag.01"}</definedName>
    <definedName name="wrn.pag.016" localSheetId="3" hidden="1">{#N/A,#N/A,FALSE,"Pag.01"}</definedName>
    <definedName name="wrn.pag.016" localSheetId="0" hidden="1">{#N/A,#N/A,FALSE,"Pag.01"}</definedName>
    <definedName name="wrn.pag.016" localSheetId="2" hidden="1">{#N/A,#N/A,FALSE,"Pag.01"}</definedName>
    <definedName name="wrn.pag.016" hidden="1">{#N/A,#N/A,FALSE,"Pag.01"}</definedName>
    <definedName name="wrn.pag.0160" localSheetId="1" hidden="1">{#N/A,#N/A,FALSE,"Pag.01"}</definedName>
    <definedName name="wrn.pag.0160" localSheetId="3" hidden="1">{#N/A,#N/A,FALSE,"Pag.01"}</definedName>
    <definedName name="wrn.pag.0160" localSheetId="0" hidden="1">{#N/A,#N/A,FALSE,"Pag.01"}</definedName>
    <definedName name="wrn.pag.0160" localSheetId="2" hidden="1">{#N/A,#N/A,FALSE,"Pag.01"}</definedName>
    <definedName name="wrn.pag.0160" hidden="1">{#N/A,#N/A,FALSE,"Pag.01"}</definedName>
    <definedName name="wrn.pag.016000" localSheetId="1" hidden="1">{#N/A,#N/A,FALSE,"Pag.01"}</definedName>
    <definedName name="wrn.pag.016000" localSheetId="3" hidden="1">{#N/A,#N/A,FALSE,"Pag.01"}</definedName>
    <definedName name="wrn.pag.016000" localSheetId="0" hidden="1">{#N/A,#N/A,FALSE,"Pag.01"}</definedName>
    <definedName name="wrn.pag.016000" localSheetId="2" hidden="1">{#N/A,#N/A,FALSE,"Pag.01"}</definedName>
    <definedName name="wrn.pag.016000" hidden="1">{#N/A,#N/A,FALSE,"Pag.01"}</definedName>
    <definedName name="wrn.pag.01603254" localSheetId="1" hidden="1">{#N/A,#N/A,FALSE,"Pag.01"}</definedName>
    <definedName name="wrn.pag.01603254" localSheetId="3" hidden="1">{#N/A,#N/A,FALSE,"Pag.01"}</definedName>
    <definedName name="wrn.pag.01603254" localSheetId="0" hidden="1">{#N/A,#N/A,FALSE,"Pag.01"}</definedName>
    <definedName name="wrn.pag.01603254" localSheetId="2" hidden="1">{#N/A,#N/A,FALSE,"Pag.01"}</definedName>
    <definedName name="wrn.pag.01603254" hidden="1">{#N/A,#N/A,FALSE,"Pag.01"}</definedName>
    <definedName name="wrn.pag.0165487" localSheetId="1" hidden="1">{#N/A,#N/A,FALSE,"Pag.01"}</definedName>
    <definedName name="wrn.pag.0165487" localSheetId="3" hidden="1">{#N/A,#N/A,FALSE,"Pag.01"}</definedName>
    <definedName name="wrn.pag.0165487" localSheetId="0" hidden="1">{#N/A,#N/A,FALSE,"Pag.01"}</definedName>
    <definedName name="wrn.pag.0165487" localSheetId="2" hidden="1">{#N/A,#N/A,FALSE,"Pag.01"}</definedName>
    <definedName name="wrn.pag.0165487" hidden="1">{#N/A,#N/A,FALSE,"Pag.01"}</definedName>
    <definedName name="wrn.pag.017" localSheetId="1" hidden="1">{#N/A,#N/A,FALSE,"Pag.01"}</definedName>
    <definedName name="wrn.pag.017" localSheetId="3" hidden="1">{#N/A,#N/A,FALSE,"Pag.01"}</definedName>
    <definedName name="wrn.pag.017" localSheetId="0" hidden="1">{#N/A,#N/A,FALSE,"Pag.01"}</definedName>
    <definedName name="wrn.pag.017" localSheetId="2" hidden="1">{#N/A,#N/A,FALSE,"Pag.01"}</definedName>
    <definedName name="wrn.pag.017" hidden="1">{#N/A,#N/A,FALSE,"Pag.01"}</definedName>
    <definedName name="wrn.pag.0170" localSheetId="1" hidden="1">{#N/A,#N/A,FALSE,"Pag.01"}</definedName>
    <definedName name="wrn.pag.0170" localSheetId="3" hidden="1">{#N/A,#N/A,FALSE,"Pag.01"}</definedName>
    <definedName name="wrn.pag.0170" localSheetId="0" hidden="1">{#N/A,#N/A,FALSE,"Pag.01"}</definedName>
    <definedName name="wrn.pag.0170" localSheetId="2" hidden="1">{#N/A,#N/A,FALSE,"Pag.01"}</definedName>
    <definedName name="wrn.pag.0170" hidden="1">{#N/A,#N/A,FALSE,"Pag.01"}</definedName>
    <definedName name="wrn.pag.017000" localSheetId="1" hidden="1">{#N/A,#N/A,FALSE,"Pag.01"}</definedName>
    <definedName name="wrn.pag.017000" localSheetId="3" hidden="1">{#N/A,#N/A,FALSE,"Pag.01"}</definedName>
    <definedName name="wrn.pag.017000" localSheetId="0" hidden="1">{#N/A,#N/A,FALSE,"Pag.01"}</definedName>
    <definedName name="wrn.pag.017000" localSheetId="2" hidden="1">{#N/A,#N/A,FALSE,"Pag.01"}</definedName>
    <definedName name="wrn.pag.017000" hidden="1">{#N/A,#N/A,FALSE,"Pag.01"}</definedName>
    <definedName name="wrn.pag.018" localSheetId="1" hidden="1">{#N/A,#N/A,FALSE,"Pag.01"}</definedName>
    <definedName name="wrn.pag.018" localSheetId="3" hidden="1">{#N/A,#N/A,FALSE,"Pag.01"}</definedName>
    <definedName name="wrn.pag.018" localSheetId="0" hidden="1">{#N/A,#N/A,FALSE,"Pag.01"}</definedName>
    <definedName name="wrn.pag.018" localSheetId="2" hidden="1">{#N/A,#N/A,FALSE,"Pag.01"}</definedName>
    <definedName name="wrn.pag.018" hidden="1">{#N/A,#N/A,FALSE,"Pag.01"}</definedName>
    <definedName name="wrn.pag.018000" localSheetId="1" hidden="1">{#N/A,#N/A,FALSE,"Pag.01"}</definedName>
    <definedName name="wrn.pag.018000" localSheetId="3" hidden="1">{#N/A,#N/A,FALSE,"Pag.01"}</definedName>
    <definedName name="wrn.pag.018000" localSheetId="0" hidden="1">{#N/A,#N/A,FALSE,"Pag.01"}</definedName>
    <definedName name="wrn.pag.018000" localSheetId="2" hidden="1">{#N/A,#N/A,FALSE,"Pag.01"}</definedName>
    <definedName name="wrn.pag.018000" hidden="1">{#N/A,#N/A,FALSE,"Pag.01"}</definedName>
    <definedName name="wrn.pag.02" localSheetId="1" hidden="1">{#N/A,#N/A,FALSE,"Pag.01"}</definedName>
    <definedName name="wrn.pag.02" localSheetId="3" hidden="1">{#N/A,#N/A,FALSE,"Pag.01"}</definedName>
    <definedName name="wrn.pag.02" localSheetId="0" hidden="1">{#N/A,#N/A,FALSE,"Pag.01"}</definedName>
    <definedName name="wrn.pag.02" localSheetId="2" hidden="1">{#N/A,#N/A,FALSE,"Pag.01"}</definedName>
    <definedName name="wrn.pag.02" hidden="1">{#N/A,#N/A,FALSE,"Pag.01"}</definedName>
    <definedName name="wrn.pag.020" localSheetId="1" hidden="1">{#N/A,#N/A,FALSE,"Pag.01"}</definedName>
    <definedName name="wrn.pag.020" localSheetId="3" hidden="1">{#N/A,#N/A,FALSE,"Pag.01"}</definedName>
    <definedName name="wrn.pag.020" localSheetId="0" hidden="1">{#N/A,#N/A,FALSE,"Pag.01"}</definedName>
    <definedName name="wrn.pag.020" localSheetId="2" hidden="1">{#N/A,#N/A,FALSE,"Pag.01"}</definedName>
    <definedName name="wrn.pag.020" hidden="1">{#N/A,#N/A,FALSE,"Pag.01"}</definedName>
    <definedName name="wrn.pag.020000" localSheetId="1" hidden="1">{#N/A,#N/A,FALSE,"Pag.01"}</definedName>
    <definedName name="wrn.pag.020000" localSheetId="3" hidden="1">{#N/A,#N/A,FALSE,"Pag.01"}</definedName>
    <definedName name="wrn.pag.020000" localSheetId="0" hidden="1">{#N/A,#N/A,FALSE,"Pag.01"}</definedName>
    <definedName name="wrn.pag.020000" localSheetId="2" hidden="1">{#N/A,#N/A,FALSE,"Pag.01"}</definedName>
    <definedName name="wrn.pag.020000" hidden="1">{#N/A,#N/A,FALSE,"Pag.01"}</definedName>
    <definedName name="wrn.pag.02145" localSheetId="1" hidden="1">{#N/A,#N/A,FALSE,"Pag.01"}</definedName>
    <definedName name="wrn.pag.02145" localSheetId="3" hidden="1">{#N/A,#N/A,FALSE,"Pag.01"}</definedName>
    <definedName name="wrn.pag.02145" localSheetId="0" hidden="1">{#N/A,#N/A,FALSE,"Pag.01"}</definedName>
    <definedName name="wrn.pag.02145" localSheetId="2" hidden="1">{#N/A,#N/A,FALSE,"Pag.01"}</definedName>
    <definedName name="wrn.pag.02145" hidden="1">{#N/A,#N/A,FALSE,"Pag.01"}</definedName>
    <definedName name="wrn.pag.0214567" localSheetId="1" hidden="1">{#N/A,#N/A,FALSE,"Pag.01"}</definedName>
    <definedName name="wrn.pag.0214567" localSheetId="3" hidden="1">{#N/A,#N/A,FALSE,"Pag.01"}</definedName>
    <definedName name="wrn.pag.0214567" localSheetId="0" hidden="1">{#N/A,#N/A,FALSE,"Pag.01"}</definedName>
    <definedName name="wrn.pag.0214567" localSheetId="2" hidden="1">{#N/A,#N/A,FALSE,"Pag.01"}</definedName>
    <definedName name="wrn.pag.0214567" hidden="1">{#N/A,#N/A,FALSE,"Pag.01"}</definedName>
    <definedName name="wrn.pag.02145879" localSheetId="1" hidden="1">{#N/A,#N/A,FALSE,"Pag.01"}</definedName>
    <definedName name="wrn.pag.02145879" localSheetId="3" hidden="1">{#N/A,#N/A,FALSE,"Pag.01"}</definedName>
    <definedName name="wrn.pag.02145879" localSheetId="0" hidden="1">{#N/A,#N/A,FALSE,"Pag.01"}</definedName>
    <definedName name="wrn.pag.02145879" localSheetId="2" hidden="1">{#N/A,#N/A,FALSE,"Pag.01"}</definedName>
    <definedName name="wrn.pag.02145879" hidden="1">{#N/A,#N/A,FALSE,"Pag.01"}</definedName>
    <definedName name="wrn.pag.02325478" localSheetId="1" hidden="1">{#N/A,#N/A,FALSE,"Pag.01"}</definedName>
    <definedName name="wrn.pag.02325478" localSheetId="3" hidden="1">{#N/A,#N/A,FALSE,"Pag.01"}</definedName>
    <definedName name="wrn.pag.02325478" localSheetId="0" hidden="1">{#N/A,#N/A,FALSE,"Pag.01"}</definedName>
    <definedName name="wrn.pag.02325478" localSheetId="2" hidden="1">{#N/A,#N/A,FALSE,"Pag.01"}</definedName>
    <definedName name="wrn.pag.02325478" hidden="1">{#N/A,#N/A,FALSE,"Pag.01"}</definedName>
    <definedName name="wrn.pag.025" localSheetId="1" hidden="1">{#N/A,#N/A,FALSE,"Pag.01"}</definedName>
    <definedName name="wrn.pag.025" localSheetId="3" hidden="1">{#N/A,#N/A,FALSE,"Pag.01"}</definedName>
    <definedName name="wrn.pag.025" localSheetId="0" hidden="1">{#N/A,#N/A,FALSE,"Pag.01"}</definedName>
    <definedName name="wrn.pag.025" localSheetId="2" hidden="1">{#N/A,#N/A,FALSE,"Pag.01"}</definedName>
    <definedName name="wrn.pag.025" hidden="1">{#N/A,#N/A,FALSE,"Pag.01"}</definedName>
    <definedName name="wrn.pag.025000" localSheetId="1" hidden="1">{#N/A,#N/A,FALSE,"Pag.01"}</definedName>
    <definedName name="wrn.pag.025000" localSheetId="3" hidden="1">{#N/A,#N/A,FALSE,"Pag.01"}</definedName>
    <definedName name="wrn.pag.025000" localSheetId="0" hidden="1">{#N/A,#N/A,FALSE,"Pag.01"}</definedName>
    <definedName name="wrn.pag.025000" localSheetId="2" hidden="1">{#N/A,#N/A,FALSE,"Pag.01"}</definedName>
    <definedName name="wrn.pag.025000" hidden="1">{#N/A,#N/A,FALSE,"Pag.01"}</definedName>
    <definedName name="wrn.pag.025476" localSheetId="1" hidden="1">{#N/A,#N/A,FALSE,"Pag.01"}</definedName>
    <definedName name="wrn.pag.025476" localSheetId="3" hidden="1">{#N/A,#N/A,FALSE,"Pag.01"}</definedName>
    <definedName name="wrn.pag.025476" localSheetId="0" hidden="1">{#N/A,#N/A,FALSE,"Pag.01"}</definedName>
    <definedName name="wrn.pag.025476" localSheetId="2" hidden="1">{#N/A,#N/A,FALSE,"Pag.01"}</definedName>
    <definedName name="wrn.pag.025476" hidden="1">{#N/A,#N/A,FALSE,"Pag.01"}</definedName>
    <definedName name="wrn.pag.02564789" localSheetId="1" hidden="1">{#N/A,#N/A,FALSE,"Pag.01"}</definedName>
    <definedName name="wrn.pag.02564789" localSheetId="3" hidden="1">{#N/A,#N/A,FALSE,"Pag.01"}</definedName>
    <definedName name="wrn.pag.02564789" localSheetId="0" hidden="1">{#N/A,#N/A,FALSE,"Pag.01"}</definedName>
    <definedName name="wrn.pag.02564789" localSheetId="2" hidden="1">{#N/A,#N/A,FALSE,"Pag.01"}</definedName>
    <definedName name="wrn.pag.02564789" hidden="1">{#N/A,#N/A,FALSE,"Pag.01"}</definedName>
    <definedName name="wrn.pag.03" localSheetId="1" hidden="1">{#N/A,#N/A,FALSE,"Pag.01"}</definedName>
    <definedName name="wrn.pag.03" localSheetId="3" hidden="1">{#N/A,#N/A,FALSE,"Pag.01"}</definedName>
    <definedName name="wrn.pag.03" localSheetId="0" hidden="1">{#N/A,#N/A,FALSE,"Pag.01"}</definedName>
    <definedName name="wrn.pag.03" localSheetId="2" hidden="1">{#N/A,#N/A,FALSE,"Pag.01"}</definedName>
    <definedName name="wrn.pag.03" hidden="1">{#N/A,#N/A,FALSE,"Pag.01"}</definedName>
    <definedName name="wrn.pag.030" localSheetId="1" hidden="1">{#N/A,#N/A,FALSE,"Pag.01"}</definedName>
    <definedName name="wrn.pag.030" localSheetId="3" hidden="1">{#N/A,#N/A,FALSE,"Pag.01"}</definedName>
    <definedName name="wrn.pag.030" localSheetId="0" hidden="1">{#N/A,#N/A,FALSE,"Pag.01"}</definedName>
    <definedName name="wrn.pag.030" localSheetId="2" hidden="1">{#N/A,#N/A,FALSE,"Pag.01"}</definedName>
    <definedName name="wrn.pag.030" hidden="1">{#N/A,#N/A,FALSE,"Pag.01"}</definedName>
    <definedName name="wrn.pag.0300" localSheetId="1" hidden="1">{#N/A,#N/A,FALSE,"Pag.01"}</definedName>
    <definedName name="wrn.pag.0300" localSheetId="3" hidden="1">{#N/A,#N/A,FALSE,"Pag.01"}</definedName>
    <definedName name="wrn.pag.0300" localSheetId="0" hidden="1">{#N/A,#N/A,FALSE,"Pag.01"}</definedName>
    <definedName name="wrn.pag.0300" localSheetId="2" hidden="1">{#N/A,#N/A,FALSE,"Pag.01"}</definedName>
    <definedName name="wrn.pag.0300" hidden="1">{#N/A,#N/A,FALSE,"Pag.01"}</definedName>
    <definedName name="wrn.pag.03000000" localSheetId="1" hidden="1">{#N/A,#N/A,FALSE,"Pag.01"}</definedName>
    <definedName name="wrn.pag.03000000" localSheetId="3" hidden="1">{#N/A,#N/A,FALSE,"Pag.01"}</definedName>
    <definedName name="wrn.pag.03000000" localSheetId="0" hidden="1">{#N/A,#N/A,FALSE,"Pag.01"}</definedName>
    <definedName name="wrn.pag.03000000" localSheetId="2" hidden="1">{#N/A,#N/A,FALSE,"Pag.01"}</definedName>
    <definedName name="wrn.pag.03000000" hidden="1">{#N/A,#N/A,FALSE,"Pag.01"}</definedName>
    <definedName name="wrn.pag.030000000" localSheetId="1" hidden="1">{#N/A,#N/A,FALSE,"Pag.01"}</definedName>
    <definedName name="wrn.pag.030000000" localSheetId="3" hidden="1">{#N/A,#N/A,FALSE,"Pag.01"}</definedName>
    <definedName name="wrn.pag.030000000" localSheetId="0" hidden="1">{#N/A,#N/A,FALSE,"Pag.01"}</definedName>
    <definedName name="wrn.pag.030000000" localSheetId="2" hidden="1">{#N/A,#N/A,FALSE,"Pag.01"}</definedName>
    <definedName name="wrn.pag.030000000" hidden="1">{#N/A,#N/A,FALSE,"Pag.01"}</definedName>
    <definedName name="wrn.pag.0321475" localSheetId="1" hidden="1">{#N/A,#N/A,FALSE,"Pag.01"}</definedName>
    <definedName name="wrn.pag.0321475" localSheetId="3" hidden="1">{#N/A,#N/A,FALSE,"Pag.01"}</definedName>
    <definedName name="wrn.pag.0321475" localSheetId="0" hidden="1">{#N/A,#N/A,FALSE,"Pag.01"}</definedName>
    <definedName name="wrn.pag.0321475" localSheetId="2" hidden="1">{#N/A,#N/A,FALSE,"Pag.01"}</definedName>
    <definedName name="wrn.pag.0321475" hidden="1">{#N/A,#N/A,FALSE,"Pag.01"}</definedName>
    <definedName name="wrn.pag.032548" localSheetId="1" hidden="1">{#N/A,#N/A,FALSE,"Pag.01"}</definedName>
    <definedName name="wrn.pag.032548" localSheetId="3" hidden="1">{#N/A,#N/A,FALSE,"Pag.01"}</definedName>
    <definedName name="wrn.pag.032548" localSheetId="0" hidden="1">{#N/A,#N/A,FALSE,"Pag.01"}</definedName>
    <definedName name="wrn.pag.032548" localSheetId="2" hidden="1">{#N/A,#N/A,FALSE,"Pag.01"}</definedName>
    <definedName name="wrn.pag.032548" hidden="1">{#N/A,#N/A,FALSE,"Pag.01"}</definedName>
    <definedName name="wrn.pag.0345778" localSheetId="1" hidden="1">{#N/A,#N/A,FALSE,"Pag.01"}</definedName>
    <definedName name="wrn.pag.0345778" localSheetId="3" hidden="1">{#N/A,#N/A,FALSE,"Pag.01"}</definedName>
    <definedName name="wrn.pag.0345778" localSheetId="0" hidden="1">{#N/A,#N/A,FALSE,"Pag.01"}</definedName>
    <definedName name="wrn.pag.0345778" localSheetId="2" hidden="1">{#N/A,#N/A,FALSE,"Pag.01"}</definedName>
    <definedName name="wrn.pag.0345778" hidden="1">{#N/A,#N/A,FALSE,"Pag.01"}</definedName>
    <definedName name="wrn.pag.04" localSheetId="1" hidden="1">{#N/A,#N/A,FALSE,"Pag.01"}</definedName>
    <definedName name="wrn.pag.04" localSheetId="3" hidden="1">{#N/A,#N/A,FALSE,"Pag.01"}</definedName>
    <definedName name="wrn.pag.04" localSheetId="0" hidden="1">{#N/A,#N/A,FALSE,"Pag.01"}</definedName>
    <definedName name="wrn.pag.04" localSheetId="2" hidden="1">{#N/A,#N/A,FALSE,"Pag.01"}</definedName>
    <definedName name="wrn.pag.04" hidden="1">{#N/A,#N/A,FALSE,"Pag.01"}</definedName>
    <definedName name="wrn.pag.040" localSheetId="1" hidden="1">{#N/A,#N/A,FALSE,"Pag.01"}</definedName>
    <definedName name="wrn.pag.040" localSheetId="3" hidden="1">{#N/A,#N/A,FALSE,"Pag.01"}</definedName>
    <definedName name="wrn.pag.040" localSheetId="0" hidden="1">{#N/A,#N/A,FALSE,"Pag.01"}</definedName>
    <definedName name="wrn.pag.040" localSheetId="2" hidden="1">{#N/A,#N/A,FALSE,"Pag.01"}</definedName>
    <definedName name="wrn.pag.040" hidden="1">{#N/A,#N/A,FALSE,"Pag.01"}</definedName>
    <definedName name="wrn.pag.0400" localSheetId="1" hidden="1">{#N/A,#N/A,FALSE,"Pag.01"}</definedName>
    <definedName name="wrn.pag.0400" localSheetId="3" hidden="1">{#N/A,#N/A,FALSE,"Pag.01"}</definedName>
    <definedName name="wrn.pag.0400" localSheetId="0" hidden="1">{#N/A,#N/A,FALSE,"Pag.01"}</definedName>
    <definedName name="wrn.pag.0400" localSheetId="2" hidden="1">{#N/A,#N/A,FALSE,"Pag.01"}</definedName>
    <definedName name="wrn.pag.0400" hidden="1">{#N/A,#N/A,FALSE,"Pag.01"}</definedName>
    <definedName name="wrn.pag.040000000" localSheetId="1" hidden="1">{#N/A,#N/A,FALSE,"Pag.01"}</definedName>
    <definedName name="wrn.pag.040000000" localSheetId="3" hidden="1">{#N/A,#N/A,FALSE,"Pag.01"}</definedName>
    <definedName name="wrn.pag.040000000" localSheetId="0" hidden="1">{#N/A,#N/A,FALSE,"Pag.01"}</definedName>
    <definedName name="wrn.pag.040000000" localSheetId="2" hidden="1">{#N/A,#N/A,FALSE,"Pag.01"}</definedName>
    <definedName name="wrn.pag.040000000" hidden="1">{#N/A,#N/A,FALSE,"Pag.01"}</definedName>
    <definedName name="wrn.pag.040000000000" localSheetId="1" hidden="1">{#N/A,#N/A,FALSE,"Pag.01"}</definedName>
    <definedName name="wrn.pag.040000000000" localSheetId="3" hidden="1">{#N/A,#N/A,FALSE,"Pag.01"}</definedName>
    <definedName name="wrn.pag.040000000000" localSheetId="0" hidden="1">{#N/A,#N/A,FALSE,"Pag.01"}</definedName>
    <definedName name="wrn.pag.040000000000" localSheetId="2" hidden="1">{#N/A,#N/A,FALSE,"Pag.01"}</definedName>
    <definedName name="wrn.pag.040000000000" hidden="1">{#N/A,#N/A,FALSE,"Pag.01"}</definedName>
    <definedName name="wrn.pag.04254789" localSheetId="1" hidden="1">{#N/A,#N/A,FALSE,"Pag.01"}</definedName>
    <definedName name="wrn.pag.04254789" localSheetId="3" hidden="1">{#N/A,#N/A,FALSE,"Pag.01"}</definedName>
    <definedName name="wrn.pag.04254789" localSheetId="0" hidden="1">{#N/A,#N/A,FALSE,"Pag.01"}</definedName>
    <definedName name="wrn.pag.04254789" localSheetId="2" hidden="1">{#N/A,#N/A,FALSE,"Pag.01"}</definedName>
    <definedName name="wrn.pag.04254789" hidden="1">{#N/A,#N/A,FALSE,"Pag.01"}</definedName>
    <definedName name="wrn.pag.04875323" localSheetId="1" hidden="1">{#N/A,#N/A,FALSE,"Pag.01"}</definedName>
    <definedName name="wrn.pag.04875323" localSheetId="3" hidden="1">{#N/A,#N/A,FALSE,"Pag.01"}</definedName>
    <definedName name="wrn.pag.04875323" localSheetId="0" hidden="1">{#N/A,#N/A,FALSE,"Pag.01"}</definedName>
    <definedName name="wrn.pag.04875323" localSheetId="2" hidden="1">{#N/A,#N/A,FALSE,"Pag.01"}</definedName>
    <definedName name="wrn.pag.04875323" hidden="1">{#N/A,#N/A,FALSE,"Pag.01"}</definedName>
    <definedName name="wrn.pag.05" localSheetId="1" hidden="1">{#N/A,#N/A,FALSE,"Pag.01"}</definedName>
    <definedName name="wrn.pag.05" localSheetId="3" hidden="1">{#N/A,#N/A,FALSE,"Pag.01"}</definedName>
    <definedName name="wrn.pag.05" localSheetId="0" hidden="1">{#N/A,#N/A,FALSE,"Pag.01"}</definedName>
    <definedName name="wrn.pag.05" localSheetId="2" hidden="1">{#N/A,#N/A,FALSE,"Pag.01"}</definedName>
    <definedName name="wrn.pag.05" hidden="1">{#N/A,#N/A,FALSE,"Pag.01"}</definedName>
    <definedName name="wrn.pag.050" localSheetId="1" hidden="1">{#N/A,#N/A,FALSE,"Pag.01"}</definedName>
    <definedName name="wrn.pag.050" localSheetId="3" hidden="1">{#N/A,#N/A,FALSE,"Pag.01"}</definedName>
    <definedName name="wrn.pag.050" localSheetId="0" hidden="1">{#N/A,#N/A,FALSE,"Pag.01"}</definedName>
    <definedName name="wrn.pag.050" localSheetId="2" hidden="1">{#N/A,#N/A,FALSE,"Pag.01"}</definedName>
    <definedName name="wrn.pag.050" hidden="1">{#N/A,#N/A,FALSE,"Pag.01"}</definedName>
    <definedName name="wrn.pag.0500" localSheetId="1" hidden="1">{#N/A,#N/A,FALSE,"Pag.01"}</definedName>
    <definedName name="wrn.pag.0500" localSheetId="3" hidden="1">{#N/A,#N/A,FALSE,"Pag.01"}</definedName>
    <definedName name="wrn.pag.0500" localSheetId="0" hidden="1">{#N/A,#N/A,FALSE,"Pag.01"}</definedName>
    <definedName name="wrn.pag.0500" localSheetId="2" hidden="1">{#N/A,#N/A,FALSE,"Pag.01"}</definedName>
    <definedName name="wrn.pag.0500" hidden="1">{#N/A,#N/A,FALSE,"Pag.01"}</definedName>
    <definedName name="wrn.pag.0500000000" localSheetId="1" hidden="1">{#N/A,#N/A,FALSE,"Pag.01"}</definedName>
    <definedName name="wrn.pag.0500000000" localSheetId="3" hidden="1">{#N/A,#N/A,FALSE,"Pag.01"}</definedName>
    <definedName name="wrn.pag.0500000000" localSheetId="0" hidden="1">{#N/A,#N/A,FALSE,"Pag.01"}</definedName>
    <definedName name="wrn.pag.0500000000" localSheetId="2" hidden="1">{#N/A,#N/A,FALSE,"Pag.01"}</definedName>
    <definedName name="wrn.pag.0500000000" hidden="1">{#N/A,#N/A,FALSE,"Pag.01"}</definedName>
    <definedName name="wrn.pag.05000000000" localSheetId="1" hidden="1">{#N/A,#N/A,FALSE,"Pag.01"}</definedName>
    <definedName name="wrn.pag.05000000000" localSheetId="3" hidden="1">{#N/A,#N/A,FALSE,"Pag.01"}</definedName>
    <definedName name="wrn.pag.05000000000" localSheetId="0" hidden="1">{#N/A,#N/A,FALSE,"Pag.01"}</definedName>
    <definedName name="wrn.pag.05000000000" localSheetId="2" hidden="1">{#N/A,#N/A,FALSE,"Pag.01"}</definedName>
    <definedName name="wrn.pag.05000000000" hidden="1">{#N/A,#N/A,FALSE,"Pag.01"}</definedName>
    <definedName name="wrn.pag.05428" localSheetId="1" hidden="1">{#N/A,#N/A,FALSE,"Pag.01"}</definedName>
    <definedName name="wrn.pag.05428" localSheetId="3" hidden="1">{#N/A,#N/A,FALSE,"Pag.01"}</definedName>
    <definedName name="wrn.pag.05428" localSheetId="0" hidden="1">{#N/A,#N/A,FALSE,"Pag.01"}</definedName>
    <definedName name="wrn.pag.05428" localSheetId="2" hidden="1">{#N/A,#N/A,FALSE,"Pag.01"}</definedName>
    <definedName name="wrn.pag.05428" hidden="1">{#N/A,#N/A,FALSE,"Pag.01"}</definedName>
    <definedName name="wrn.pag.056874" localSheetId="1" hidden="1">{#N/A,#N/A,FALSE,"Pag.01"}</definedName>
    <definedName name="wrn.pag.056874" localSheetId="3" hidden="1">{#N/A,#N/A,FALSE,"Pag.01"}</definedName>
    <definedName name="wrn.pag.056874" localSheetId="0" hidden="1">{#N/A,#N/A,FALSE,"Pag.01"}</definedName>
    <definedName name="wrn.pag.056874" localSheetId="2" hidden="1">{#N/A,#N/A,FALSE,"Pag.01"}</definedName>
    <definedName name="wrn.pag.056874" hidden="1">{#N/A,#N/A,FALSE,"Pag.01"}</definedName>
    <definedName name="wrn.pag.06" localSheetId="1" hidden="1">{#N/A,#N/A,FALSE,"Pag.01"}</definedName>
    <definedName name="wrn.pag.06" localSheetId="3" hidden="1">{#N/A,#N/A,FALSE,"Pag.01"}</definedName>
    <definedName name="wrn.pag.06" localSheetId="0" hidden="1">{#N/A,#N/A,FALSE,"Pag.01"}</definedName>
    <definedName name="wrn.pag.06" localSheetId="2" hidden="1">{#N/A,#N/A,FALSE,"Pag.01"}</definedName>
    <definedName name="wrn.pag.06" hidden="1">{#N/A,#N/A,FALSE,"Pag.01"}</definedName>
    <definedName name="wrn.pag.060" localSheetId="1" hidden="1">{#N/A,#N/A,FALSE,"Pag.01"}</definedName>
    <definedName name="wrn.pag.060" localSheetId="3" hidden="1">{#N/A,#N/A,FALSE,"Pag.01"}</definedName>
    <definedName name="wrn.pag.060" localSheetId="0" hidden="1">{#N/A,#N/A,FALSE,"Pag.01"}</definedName>
    <definedName name="wrn.pag.060" localSheetId="2" hidden="1">{#N/A,#N/A,FALSE,"Pag.01"}</definedName>
    <definedName name="wrn.pag.060" hidden="1">{#N/A,#N/A,FALSE,"Pag.01"}</definedName>
    <definedName name="wrn.pag.0600" localSheetId="1" hidden="1">{#N/A,#N/A,FALSE,"Pag.01"}</definedName>
    <definedName name="wrn.pag.0600" localSheetId="3" hidden="1">{#N/A,#N/A,FALSE,"Pag.01"}</definedName>
    <definedName name="wrn.pag.0600" localSheetId="0" hidden="1">{#N/A,#N/A,FALSE,"Pag.01"}</definedName>
    <definedName name="wrn.pag.0600" localSheetId="2" hidden="1">{#N/A,#N/A,FALSE,"Pag.01"}</definedName>
    <definedName name="wrn.pag.0600" hidden="1">{#N/A,#N/A,FALSE,"Pag.01"}</definedName>
    <definedName name="wrn.pag.0600000000" localSheetId="1" hidden="1">{#N/A,#N/A,FALSE,"Pag.01"}</definedName>
    <definedName name="wrn.pag.0600000000" localSheetId="3" hidden="1">{#N/A,#N/A,FALSE,"Pag.01"}</definedName>
    <definedName name="wrn.pag.0600000000" localSheetId="0" hidden="1">{#N/A,#N/A,FALSE,"Pag.01"}</definedName>
    <definedName name="wrn.pag.0600000000" localSheetId="2" hidden="1">{#N/A,#N/A,FALSE,"Pag.01"}</definedName>
    <definedName name="wrn.pag.0600000000" hidden="1">{#N/A,#N/A,FALSE,"Pag.01"}</definedName>
    <definedName name="wrn.pag.06000000000000000" localSheetId="1" hidden="1">{#N/A,#N/A,FALSE,"Pag.01"}</definedName>
    <definedName name="wrn.pag.06000000000000000" localSheetId="3" hidden="1">{#N/A,#N/A,FALSE,"Pag.01"}</definedName>
    <definedName name="wrn.pag.06000000000000000" localSheetId="0" hidden="1">{#N/A,#N/A,FALSE,"Pag.01"}</definedName>
    <definedName name="wrn.pag.06000000000000000" localSheetId="2" hidden="1">{#N/A,#N/A,FALSE,"Pag.01"}</definedName>
    <definedName name="wrn.pag.06000000000000000" hidden="1">{#N/A,#N/A,FALSE,"Pag.01"}</definedName>
    <definedName name="wrn.pag.07" localSheetId="1" hidden="1">{#N/A,#N/A,FALSE,"Pag.01"}</definedName>
    <definedName name="wrn.pag.07" localSheetId="3" hidden="1">{#N/A,#N/A,FALSE,"Pag.01"}</definedName>
    <definedName name="wrn.pag.07" localSheetId="0" hidden="1">{#N/A,#N/A,FALSE,"Pag.01"}</definedName>
    <definedName name="wrn.pag.07" localSheetId="2" hidden="1">{#N/A,#N/A,FALSE,"Pag.01"}</definedName>
    <definedName name="wrn.pag.07" hidden="1">{#N/A,#N/A,FALSE,"Pag.01"}</definedName>
    <definedName name="wrn.pag.070" localSheetId="1" hidden="1">{#N/A,#N/A,FALSE,"Pag.01"}</definedName>
    <definedName name="wrn.pag.070" localSheetId="3" hidden="1">{#N/A,#N/A,FALSE,"Pag.01"}</definedName>
    <definedName name="wrn.pag.070" localSheetId="0" hidden="1">{#N/A,#N/A,FALSE,"Pag.01"}</definedName>
    <definedName name="wrn.pag.070" localSheetId="2" hidden="1">{#N/A,#N/A,FALSE,"Pag.01"}</definedName>
    <definedName name="wrn.pag.070" hidden="1">{#N/A,#N/A,FALSE,"Pag.01"}</definedName>
    <definedName name="wrn.pag.0700" localSheetId="1" hidden="1">{#N/A,#N/A,FALSE,"Pag.01"}</definedName>
    <definedName name="wrn.pag.0700" localSheetId="3" hidden="1">{#N/A,#N/A,FALSE,"Pag.01"}</definedName>
    <definedName name="wrn.pag.0700" localSheetId="0" hidden="1">{#N/A,#N/A,FALSE,"Pag.01"}</definedName>
    <definedName name="wrn.pag.0700" localSheetId="2" hidden="1">{#N/A,#N/A,FALSE,"Pag.01"}</definedName>
    <definedName name="wrn.pag.0700" hidden="1">{#N/A,#N/A,FALSE,"Pag.01"}</definedName>
    <definedName name="wrn.pag.070000000000" localSheetId="1" hidden="1">{#N/A,#N/A,FALSE,"Pag.01"}</definedName>
    <definedName name="wrn.pag.070000000000" localSheetId="3" hidden="1">{#N/A,#N/A,FALSE,"Pag.01"}</definedName>
    <definedName name="wrn.pag.070000000000" localSheetId="0" hidden="1">{#N/A,#N/A,FALSE,"Pag.01"}</definedName>
    <definedName name="wrn.pag.070000000000" localSheetId="2" hidden="1">{#N/A,#N/A,FALSE,"Pag.01"}</definedName>
    <definedName name="wrn.pag.070000000000" hidden="1">{#N/A,#N/A,FALSE,"Pag.01"}</definedName>
    <definedName name="wrn.pag.07000000000000" localSheetId="1" hidden="1">{#N/A,#N/A,FALSE,"Pag.01"}</definedName>
    <definedName name="wrn.pag.07000000000000" localSheetId="3" hidden="1">{#N/A,#N/A,FALSE,"Pag.01"}</definedName>
    <definedName name="wrn.pag.07000000000000" localSheetId="0" hidden="1">{#N/A,#N/A,FALSE,"Pag.01"}</definedName>
    <definedName name="wrn.pag.07000000000000" localSheetId="2" hidden="1">{#N/A,#N/A,FALSE,"Pag.01"}</definedName>
    <definedName name="wrn.pag.07000000000000" hidden="1">{#N/A,#N/A,FALSE,"Pag.01"}</definedName>
    <definedName name="wrn.pag.09" localSheetId="1" hidden="1">{#N/A,#N/A,FALSE,"Pag.01"}</definedName>
    <definedName name="wrn.pag.09" localSheetId="3" hidden="1">{#N/A,#N/A,FALSE,"Pag.01"}</definedName>
    <definedName name="wrn.pag.09" localSheetId="0" hidden="1">{#N/A,#N/A,FALSE,"Pag.01"}</definedName>
    <definedName name="wrn.pag.09" localSheetId="2" hidden="1">{#N/A,#N/A,FALSE,"Pag.01"}</definedName>
    <definedName name="wrn.pag.09" hidden="1">{#N/A,#N/A,FALSE,"Pag.01"}</definedName>
    <definedName name="wrn.pag.090" localSheetId="1" hidden="1">{#N/A,#N/A,FALSE,"Pag.01"}</definedName>
    <definedName name="wrn.pag.090" localSheetId="3" hidden="1">{#N/A,#N/A,FALSE,"Pag.01"}</definedName>
    <definedName name="wrn.pag.090" localSheetId="0" hidden="1">{#N/A,#N/A,FALSE,"Pag.01"}</definedName>
    <definedName name="wrn.pag.090" localSheetId="2" hidden="1">{#N/A,#N/A,FALSE,"Pag.01"}</definedName>
    <definedName name="wrn.pag.090" hidden="1">{#N/A,#N/A,FALSE,"Pag.01"}</definedName>
    <definedName name="wrn.pag.0900" localSheetId="1" hidden="1">{#N/A,#N/A,FALSE,"Pag.01"}</definedName>
    <definedName name="wrn.pag.0900" localSheetId="3" hidden="1">{#N/A,#N/A,FALSE,"Pag.01"}</definedName>
    <definedName name="wrn.pag.0900" localSheetId="0" hidden="1">{#N/A,#N/A,FALSE,"Pag.01"}</definedName>
    <definedName name="wrn.pag.0900" localSheetId="2" hidden="1">{#N/A,#N/A,FALSE,"Pag.01"}</definedName>
    <definedName name="wrn.pag.0900" hidden="1">{#N/A,#N/A,FALSE,"Pag.01"}</definedName>
    <definedName name="wrn.pag.090000000000" localSheetId="1" hidden="1">{#N/A,#N/A,FALSE,"Pag.01"}</definedName>
    <definedName name="wrn.pag.090000000000" localSheetId="3" hidden="1">{#N/A,#N/A,FALSE,"Pag.01"}</definedName>
    <definedName name="wrn.pag.090000000000" localSheetId="0" hidden="1">{#N/A,#N/A,FALSE,"Pag.01"}</definedName>
    <definedName name="wrn.pag.090000000000" localSheetId="2" hidden="1">{#N/A,#N/A,FALSE,"Pag.01"}</definedName>
    <definedName name="wrn.pag.090000000000" hidden="1">{#N/A,#N/A,FALSE,"Pag.01"}</definedName>
    <definedName name="wrn.pag.09000000000000000000" localSheetId="1" hidden="1">{#N/A,#N/A,FALSE,"Pag.01"}</definedName>
    <definedName name="wrn.pag.09000000000000000000" localSheetId="3" hidden="1">{#N/A,#N/A,FALSE,"Pag.01"}</definedName>
    <definedName name="wrn.pag.09000000000000000000" localSheetId="0" hidden="1">{#N/A,#N/A,FALSE,"Pag.01"}</definedName>
    <definedName name="wrn.pag.09000000000000000000" localSheetId="2" hidden="1">{#N/A,#N/A,FALSE,"Pag.01"}</definedName>
    <definedName name="wrn.pag.09000000000000000000" hidden="1">{#N/A,#N/A,FALSE,"Pag.01"}</definedName>
    <definedName name="wrn.pag.100" localSheetId="1" hidden="1">{#N/A,#N/A,FALSE,"Pag.01"}</definedName>
    <definedName name="wrn.pag.100" localSheetId="3" hidden="1">{#N/A,#N/A,FALSE,"Pag.01"}</definedName>
    <definedName name="wrn.pag.100" localSheetId="0" hidden="1">{#N/A,#N/A,FALSE,"Pag.01"}</definedName>
    <definedName name="wrn.pag.100" localSheetId="2" hidden="1">{#N/A,#N/A,FALSE,"Pag.01"}</definedName>
    <definedName name="wrn.pag.100" hidden="1">{#N/A,#N/A,FALSE,"Pag.01"}</definedName>
    <definedName name="wrn.pag.102145" localSheetId="1" hidden="1">{#N/A,#N/A,FALSE,"Pag.01"}</definedName>
    <definedName name="wrn.pag.102145" localSheetId="3" hidden="1">{#N/A,#N/A,FALSE,"Pag.01"}</definedName>
    <definedName name="wrn.pag.102145" localSheetId="0" hidden="1">{#N/A,#N/A,FALSE,"Pag.01"}</definedName>
    <definedName name="wrn.pag.102145" localSheetId="2" hidden="1">{#N/A,#N/A,FALSE,"Pag.01"}</definedName>
    <definedName name="wrn.pag.102145" hidden="1">{#N/A,#N/A,FALSE,"Pag.01"}</definedName>
    <definedName name="wrn.pag.12" localSheetId="1" hidden="1">{#N/A,#N/A,FALSE,"Pag.01"}</definedName>
    <definedName name="wrn.pag.12" localSheetId="3" hidden="1">{#N/A,#N/A,FALSE,"Pag.01"}</definedName>
    <definedName name="wrn.pag.12" localSheetId="0" hidden="1">{#N/A,#N/A,FALSE,"Pag.01"}</definedName>
    <definedName name="wrn.pag.12" localSheetId="2" hidden="1">{#N/A,#N/A,FALSE,"Pag.01"}</definedName>
    <definedName name="wrn.pag.12" hidden="1">{#N/A,#N/A,FALSE,"Pag.01"}</definedName>
    <definedName name="wrn.pag.120" localSheetId="1" hidden="1">{#N/A,#N/A,FALSE,"Pag.01"}</definedName>
    <definedName name="wrn.pag.120" localSheetId="3" hidden="1">{#N/A,#N/A,FALSE,"Pag.01"}</definedName>
    <definedName name="wrn.pag.120" localSheetId="0" hidden="1">{#N/A,#N/A,FALSE,"Pag.01"}</definedName>
    <definedName name="wrn.pag.120" localSheetId="2" hidden="1">{#N/A,#N/A,FALSE,"Pag.01"}</definedName>
    <definedName name="wrn.pag.120" hidden="1">{#N/A,#N/A,FALSE,"Pag.01"}</definedName>
    <definedName name="wrn.pag.12000000000" localSheetId="1" hidden="1">{#N/A,#N/A,FALSE,"Pag.01"}</definedName>
    <definedName name="wrn.pag.12000000000" localSheetId="3" hidden="1">{#N/A,#N/A,FALSE,"Pag.01"}</definedName>
    <definedName name="wrn.pag.12000000000" localSheetId="0" hidden="1">{#N/A,#N/A,FALSE,"Pag.01"}</definedName>
    <definedName name="wrn.pag.12000000000" localSheetId="2" hidden="1">{#N/A,#N/A,FALSE,"Pag.01"}</definedName>
    <definedName name="wrn.pag.12000000000" hidden="1">{#N/A,#N/A,FALSE,"Pag.01"}</definedName>
    <definedName name="wrn.pag.1200000000000000" localSheetId="1" hidden="1">{#N/A,#N/A,FALSE,"Pag.01"}</definedName>
    <definedName name="wrn.pag.1200000000000000" localSheetId="3" hidden="1">{#N/A,#N/A,FALSE,"Pag.01"}</definedName>
    <definedName name="wrn.pag.1200000000000000" localSheetId="0" hidden="1">{#N/A,#N/A,FALSE,"Pag.01"}</definedName>
    <definedName name="wrn.pag.1200000000000000" localSheetId="2" hidden="1">{#N/A,#N/A,FALSE,"Pag.01"}</definedName>
    <definedName name="wrn.pag.1200000000000000" hidden="1">{#N/A,#N/A,FALSE,"Pag.01"}</definedName>
    <definedName name="wrn.pag.1254789" localSheetId="1" hidden="1">{#N/A,#N/A,FALSE,"Pag.01"}</definedName>
    <definedName name="wrn.pag.1254789" localSheetId="3" hidden="1">{#N/A,#N/A,FALSE,"Pag.01"}</definedName>
    <definedName name="wrn.pag.1254789" localSheetId="0" hidden="1">{#N/A,#N/A,FALSE,"Pag.01"}</definedName>
    <definedName name="wrn.pag.1254789" localSheetId="2" hidden="1">{#N/A,#N/A,FALSE,"Pag.01"}</definedName>
    <definedName name="wrn.pag.1254789" hidden="1">{#N/A,#N/A,FALSE,"Pag.01"}</definedName>
    <definedName name="wrn.pag.214578" localSheetId="1" hidden="1">{#N/A,#N/A,FALSE,"Pag.01"}</definedName>
    <definedName name="wrn.pag.214578" localSheetId="3" hidden="1">{#N/A,#N/A,FALSE,"Pag.01"}</definedName>
    <definedName name="wrn.pag.214578" localSheetId="0" hidden="1">{#N/A,#N/A,FALSE,"Pag.01"}</definedName>
    <definedName name="wrn.pag.214578" localSheetId="2" hidden="1">{#N/A,#N/A,FALSE,"Pag.01"}</definedName>
    <definedName name="wrn.pag.214578" hidden="1">{#N/A,#N/A,FALSE,"Pag.01"}</definedName>
    <definedName name="wrn.pag.214789" localSheetId="1" hidden="1">{#N/A,#N/A,FALSE,"Pag.01"}</definedName>
    <definedName name="wrn.pag.214789" localSheetId="3" hidden="1">{#N/A,#N/A,FALSE,"Pag.01"}</definedName>
    <definedName name="wrn.pag.214789" localSheetId="0" hidden="1">{#N/A,#N/A,FALSE,"Pag.01"}</definedName>
    <definedName name="wrn.pag.214789" localSheetId="2" hidden="1">{#N/A,#N/A,FALSE,"Pag.01"}</definedName>
    <definedName name="wrn.pag.214789" hidden="1">{#N/A,#N/A,FALSE,"Pag.01"}</definedName>
    <definedName name="wrn.pag.23654789" localSheetId="1" hidden="1">{#N/A,#N/A,FALSE,"Pag.01"}</definedName>
    <definedName name="wrn.pag.23654789" localSheetId="3" hidden="1">{#N/A,#N/A,FALSE,"Pag.01"}</definedName>
    <definedName name="wrn.pag.23654789" localSheetId="0" hidden="1">{#N/A,#N/A,FALSE,"Pag.01"}</definedName>
    <definedName name="wrn.pag.23654789" localSheetId="2" hidden="1">{#N/A,#N/A,FALSE,"Pag.01"}</definedName>
    <definedName name="wrn.pag.23654789" hidden="1">{#N/A,#N/A,FALSE,"Pag.01"}</definedName>
    <definedName name="wrn.pag.2547257" localSheetId="1" hidden="1">{#N/A,#N/A,FALSE,"Pag.01"}</definedName>
    <definedName name="wrn.pag.2547257" localSheetId="3" hidden="1">{#N/A,#N/A,FALSE,"Pag.01"}</definedName>
    <definedName name="wrn.pag.2547257" localSheetId="0" hidden="1">{#N/A,#N/A,FALSE,"Pag.01"}</definedName>
    <definedName name="wrn.pag.2547257" localSheetId="2" hidden="1">{#N/A,#N/A,FALSE,"Pag.01"}</definedName>
    <definedName name="wrn.pag.2547257" hidden="1">{#N/A,#N/A,FALSE,"Pag.01"}</definedName>
    <definedName name="wrn.pag.254789" localSheetId="1" hidden="1">{#N/A,#N/A,FALSE,"Pag.01"}</definedName>
    <definedName name="wrn.pag.254789" localSheetId="3" hidden="1">{#N/A,#N/A,FALSE,"Pag.01"}</definedName>
    <definedName name="wrn.pag.254789" localSheetId="0" hidden="1">{#N/A,#N/A,FALSE,"Pag.01"}</definedName>
    <definedName name="wrn.pag.254789" localSheetId="2" hidden="1">{#N/A,#N/A,FALSE,"Pag.01"}</definedName>
    <definedName name="wrn.pag.254789" hidden="1">{#N/A,#N/A,FALSE,"Pag.01"}</definedName>
    <definedName name="wrn.pag.2564789" localSheetId="1" hidden="1">{#N/A,#N/A,FALSE,"Pag.01"}</definedName>
    <definedName name="wrn.pag.2564789" localSheetId="3" hidden="1">{#N/A,#N/A,FALSE,"Pag.01"}</definedName>
    <definedName name="wrn.pag.2564789" localSheetId="0" hidden="1">{#N/A,#N/A,FALSE,"Pag.01"}</definedName>
    <definedName name="wrn.pag.2564789" localSheetId="2" hidden="1">{#N/A,#N/A,FALSE,"Pag.01"}</definedName>
    <definedName name="wrn.pag.2564789" hidden="1">{#N/A,#N/A,FALSE,"Pag.01"}</definedName>
    <definedName name="wrn.pag.458796" localSheetId="1" hidden="1">{#N/A,#N/A,FALSE,"Pag.01"}</definedName>
    <definedName name="wrn.pag.458796" localSheetId="3" hidden="1">{#N/A,#N/A,FALSE,"Pag.01"}</definedName>
    <definedName name="wrn.pag.458796" localSheetId="0" hidden="1">{#N/A,#N/A,FALSE,"Pag.01"}</definedName>
    <definedName name="wrn.pag.458796" localSheetId="2" hidden="1">{#N/A,#N/A,FALSE,"Pag.01"}</definedName>
    <definedName name="wrn.pag.458796" hidden="1">{#N/A,#N/A,FALSE,"Pag.01"}</definedName>
    <definedName name="wrn.pag.500" localSheetId="1" hidden="1">{#N/A,#N/A,FALSE,"Pag.01"}</definedName>
    <definedName name="wrn.pag.500" localSheetId="3" hidden="1">{#N/A,#N/A,FALSE,"Pag.01"}</definedName>
    <definedName name="wrn.pag.500" localSheetId="0" hidden="1">{#N/A,#N/A,FALSE,"Pag.01"}</definedName>
    <definedName name="wrn.pag.500" localSheetId="2" hidden="1">{#N/A,#N/A,FALSE,"Pag.01"}</definedName>
    <definedName name="wrn.pag.500" hidden="1">{#N/A,#N/A,FALSE,"Pag.01"}</definedName>
    <definedName name="wrn.pag.5000" localSheetId="1" hidden="1">{#N/A,#N/A,FALSE,"Pag.01"}</definedName>
    <definedName name="wrn.pag.5000" localSheetId="3" hidden="1">{#N/A,#N/A,FALSE,"Pag.01"}</definedName>
    <definedName name="wrn.pag.5000" localSheetId="0" hidden="1">{#N/A,#N/A,FALSE,"Pag.01"}</definedName>
    <definedName name="wrn.pag.5000" localSheetId="2" hidden="1">{#N/A,#N/A,FALSE,"Pag.01"}</definedName>
    <definedName name="wrn.pag.5000" hidden="1">{#N/A,#N/A,FALSE,"Pag.01"}</definedName>
    <definedName name="wrn.pag.501000" localSheetId="1" hidden="1">{#N/A,#N/A,FALSE,"Pag.01"}</definedName>
    <definedName name="wrn.pag.501000" localSheetId="3" hidden="1">{#N/A,#N/A,FALSE,"Pag.01"}</definedName>
    <definedName name="wrn.pag.501000" localSheetId="0" hidden="1">{#N/A,#N/A,FALSE,"Pag.01"}</definedName>
    <definedName name="wrn.pag.501000" localSheetId="2" hidden="1">{#N/A,#N/A,FALSE,"Pag.01"}</definedName>
    <definedName name="wrn.pag.501000" hidden="1">{#N/A,#N/A,FALSE,"Pag.01"}</definedName>
    <definedName name="wrn.pag.5010000" localSheetId="1" hidden="1">{#N/A,#N/A,FALSE,"Pag.01"}</definedName>
    <definedName name="wrn.pag.5010000" localSheetId="3" hidden="1">{#N/A,#N/A,FALSE,"Pag.01"}</definedName>
    <definedName name="wrn.pag.5010000" localSheetId="0" hidden="1">{#N/A,#N/A,FALSE,"Pag.01"}</definedName>
    <definedName name="wrn.pag.5010000" localSheetId="2" hidden="1">{#N/A,#N/A,FALSE,"Pag.01"}</definedName>
    <definedName name="wrn.pag.5010000" hidden="1">{#N/A,#N/A,FALSE,"Pag.01"}</definedName>
    <definedName name="wrn.pag.50100000000000" localSheetId="1" hidden="1">{#N/A,#N/A,FALSE,"Pag.01"}</definedName>
    <definedName name="wrn.pag.50100000000000" localSheetId="3" hidden="1">{#N/A,#N/A,FALSE,"Pag.01"}</definedName>
    <definedName name="wrn.pag.50100000000000" localSheetId="0" hidden="1">{#N/A,#N/A,FALSE,"Pag.01"}</definedName>
    <definedName name="wrn.pag.50100000000000" localSheetId="2" hidden="1">{#N/A,#N/A,FALSE,"Pag.01"}</definedName>
    <definedName name="wrn.pag.50100000000000" hidden="1">{#N/A,#N/A,FALSE,"Pag.01"}</definedName>
    <definedName name="wrn.pag.5011" localSheetId="1" hidden="1">{#N/A,#N/A,FALSE,"Pag.01"}</definedName>
    <definedName name="wrn.pag.5011" localSheetId="3" hidden="1">{#N/A,#N/A,FALSE,"Pag.01"}</definedName>
    <definedName name="wrn.pag.5011" localSheetId="0" hidden="1">{#N/A,#N/A,FALSE,"Pag.01"}</definedName>
    <definedName name="wrn.pag.5011" localSheetId="2" hidden="1">{#N/A,#N/A,FALSE,"Pag.01"}</definedName>
    <definedName name="wrn.pag.5011" hidden="1">{#N/A,#N/A,FALSE,"Pag.01"}</definedName>
    <definedName name="wrn.pag.501110" localSheetId="1" hidden="1">{#N/A,#N/A,FALSE,"Pag.01"}</definedName>
    <definedName name="wrn.pag.501110" localSheetId="3" hidden="1">{#N/A,#N/A,FALSE,"Pag.01"}</definedName>
    <definedName name="wrn.pag.501110" localSheetId="0" hidden="1">{#N/A,#N/A,FALSE,"Pag.01"}</definedName>
    <definedName name="wrn.pag.501110" localSheetId="2" hidden="1">{#N/A,#N/A,FALSE,"Pag.01"}</definedName>
    <definedName name="wrn.pag.501110" hidden="1">{#N/A,#N/A,FALSE,"Pag.01"}</definedName>
    <definedName name="wrn.pag.5012000" localSheetId="1" hidden="1">{#N/A,#N/A,FALSE,"Pag.01"}</definedName>
    <definedName name="wrn.pag.5012000" localSheetId="3" hidden="1">{#N/A,#N/A,FALSE,"Pag.01"}</definedName>
    <definedName name="wrn.pag.5012000" localSheetId="0" hidden="1">{#N/A,#N/A,FALSE,"Pag.01"}</definedName>
    <definedName name="wrn.pag.5012000" localSheetId="2" hidden="1">{#N/A,#N/A,FALSE,"Pag.01"}</definedName>
    <definedName name="wrn.pag.5012000" hidden="1">{#N/A,#N/A,FALSE,"Pag.01"}</definedName>
    <definedName name="wrn.pag.50123" localSheetId="1" hidden="1">{#N/A,#N/A,FALSE,"Pag.01"}</definedName>
    <definedName name="wrn.pag.50123" localSheetId="3" hidden="1">{#N/A,#N/A,FALSE,"Pag.01"}</definedName>
    <definedName name="wrn.pag.50123" localSheetId="0" hidden="1">{#N/A,#N/A,FALSE,"Pag.01"}</definedName>
    <definedName name="wrn.pag.50123" localSheetId="2" hidden="1">{#N/A,#N/A,FALSE,"Pag.01"}</definedName>
    <definedName name="wrn.pag.50123" hidden="1">{#N/A,#N/A,FALSE,"Pag.01"}</definedName>
    <definedName name="wrn.pag.5013000" localSheetId="1" hidden="1">{#N/A,#N/A,FALSE,"Pag.01"}</definedName>
    <definedName name="wrn.pag.5013000" localSheetId="3" hidden="1">{#N/A,#N/A,FALSE,"Pag.01"}</definedName>
    <definedName name="wrn.pag.5013000" localSheetId="0" hidden="1">{#N/A,#N/A,FALSE,"Pag.01"}</definedName>
    <definedName name="wrn.pag.5013000" localSheetId="2" hidden="1">{#N/A,#N/A,FALSE,"Pag.01"}</definedName>
    <definedName name="wrn.pag.5013000" hidden="1">{#N/A,#N/A,FALSE,"Pag.01"}</definedName>
    <definedName name="wrn.pag.5017" localSheetId="1" hidden="1">{#N/A,#N/A,FALSE,"Pag.01"}</definedName>
    <definedName name="wrn.pag.5017" localSheetId="3" hidden="1">{#N/A,#N/A,FALSE,"Pag.01"}</definedName>
    <definedName name="wrn.pag.5017" localSheetId="0" hidden="1">{#N/A,#N/A,FALSE,"Pag.01"}</definedName>
    <definedName name="wrn.pag.5017" localSheetId="2" hidden="1">{#N/A,#N/A,FALSE,"Pag.01"}</definedName>
    <definedName name="wrn.pag.5017" hidden="1">{#N/A,#N/A,FALSE,"Pag.01"}</definedName>
    <definedName name="wrn.pag.5018" localSheetId="1" hidden="1">{#N/A,#N/A,FALSE,"Pag.01"}</definedName>
    <definedName name="wrn.pag.5018" localSheetId="3" hidden="1">{#N/A,#N/A,FALSE,"Pag.01"}</definedName>
    <definedName name="wrn.pag.5018" localSheetId="0" hidden="1">{#N/A,#N/A,FALSE,"Pag.01"}</definedName>
    <definedName name="wrn.pag.5018" localSheetId="2" hidden="1">{#N/A,#N/A,FALSE,"Pag.01"}</definedName>
    <definedName name="wrn.pag.5018" hidden="1">{#N/A,#N/A,FALSE,"Pag.01"}</definedName>
    <definedName name="wrn.pag.514000" localSheetId="1" hidden="1">{#N/A,#N/A,FALSE,"Pag.01"}</definedName>
    <definedName name="wrn.pag.514000" localSheetId="3" hidden="1">{#N/A,#N/A,FALSE,"Pag.01"}</definedName>
    <definedName name="wrn.pag.514000" localSheetId="0" hidden="1">{#N/A,#N/A,FALSE,"Pag.01"}</definedName>
    <definedName name="wrn.pag.514000" localSheetId="2" hidden="1">{#N/A,#N/A,FALSE,"Pag.01"}</definedName>
    <definedName name="wrn.pag.514000" hidden="1">{#N/A,#N/A,FALSE,"Pag.01"}</definedName>
    <definedName name="wrn.pag.658742" localSheetId="1" hidden="1">{#N/A,#N/A,FALSE,"Pag.01"}</definedName>
    <definedName name="wrn.pag.658742" localSheetId="3" hidden="1">{#N/A,#N/A,FALSE,"Pag.01"}</definedName>
    <definedName name="wrn.pag.658742" localSheetId="0" hidden="1">{#N/A,#N/A,FALSE,"Pag.01"}</definedName>
    <definedName name="wrn.pag.658742" localSheetId="2" hidden="1">{#N/A,#N/A,FALSE,"Pag.01"}</definedName>
    <definedName name="wrn.pag.658742" hidden="1">{#N/A,#N/A,FALSE,"Pag.01"}</definedName>
    <definedName name="ws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xs" localSheetId="3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Z_3593CE10_0AFF_4168_863E_673580190D43_.wvu.Cols" hidden="1">#REF!</definedName>
    <definedName name="Z_A0DD6017_E189_11D6_9013_0008C7630F83_.wvu.PrintArea" hidden="1">#REF!</definedName>
    <definedName name="zzzzz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73" l="1"/>
  <c r="R32" i="73"/>
  <c r="L32" i="73"/>
  <c r="K32" i="73"/>
  <c r="J32" i="73"/>
  <c r="B32" i="73"/>
  <c r="Q31" i="73"/>
  <c r="P31" i="73"/>
  <c r="M31" i="73"/>
  <c r="L31" i="73"/>
  <c r="K31" i="73"/>
  <c r="J31" i="73"/>
  <c r="H31" i="73"/>
  <c r="G31" i="73"/>
  <c r="F31" i="73"/>
  <c r="E31" i="73"/>
  <c r="D31" i="73"/>
  <c r="Q30" i="73"/>
  <c r="P30" i="73"/>
  <c r="O30" i="73"/>
  <c r="M30" i="73"/>
  <c r="K30" i="73"/>
  <c r="J30" i="73"/>
  <c r="H30" i="73"/>
  <c r="G30" i="73"/>
  <c r="F30" i="73"/>
  <c r="E30" i="73"/>
  <c r="D30" i="73"/>
  <c r="S29" i="73"/>
  <c r="R29" i="73"/>
  <c r="Q29" i="73"/>
  <c r="P29" i="73"/>
  <c r="M29" i="73"/>
  <c r="K29" i="73"/>
  <c r="J29" i="73"/>
  <c r="F29" i="73"/>
  <c r="E29" i="73"/>
  <c r="D29" i="73"/>
  <c r="S28" i="73"/>
  <c r="R28" i="73"/>
  <c r="Q28" i="73"/>
  <c r="P28" i="73"/>
  <c r="M28" i="73"/>
  <c r="L28" i="73"/>
  <c r="K28" i="73"/>
  <c r="J28" i="73"/>
  <c r="H28" i="73"/>
  <c r="G28" i="73"/>
  <c r="F28" i="73"/>
  <c r="E28" i="73"/>
  <c r="D28" i="73"/>
  <c r="Q27" i="73"/>
  <c r="P27" i="73"/>
  <c r="N27" i="73"/>
  <c r="M27" i="73"/>
  <c r="L27" i="73"/>
  <c r="K27" i="73"/>
  <c r="J27" i="73"/>
  <c r="I27" i="73"/>
  <c r="H27" i="73"/>
  <c r="G27" i="73"/>
  <c r="F27" i="73"/>
  <c r="E27" i="73"/>
  <c r="D27" i="73"/>
  <c r="T26" i="73"/>
  <c r="M26" i="73"/>
  <c r="L26" i="73"/>
  <c r="K26" i="73"/>
  <c r="J26" i="73"/>
  <c r="H26" i="73"/>
  <c r="G26" i="73"/>
  <c r="F26" i="73"/>
  <c r="E26" i="73"/>
  <c r="D26" i="73"/>
  <c r="S25" i="73"/>
  <c r="R25" i="73"/>
  <c r="O25" i="73"/>
  <c r="M25" i="73"/>
  <c r="L25" i="73"/>
  <c r="K25" i="73"/>
  <c r="J25" i="73"/>
  <c r="H25" i="73"/>
  <c r="G25" i="73"/>
  <c r="F25" i="73"/>
  <c r="E25" i="73"/>
  <c r="D25" i="73"/>
  <c r="M24" i="73"/>
  <c r="L24" i="73"/>
  <c r="K24" i="73"/>
  <c r="J24" i="73"/>
  <c r="H24" i="73"/>
  <c r="G24" i="73"/>
  <c r="F24" i="73"/>
  <c r="E24" i="73"/>
  <c r="D24" i="73"/>
  <c r="M23" i="73"/>
  <c r="L23" i="73"/>
  <c r="K23" i="73"/>
  <c r="J23" i="73"/>
  <c r="H23" i="73"/>
  <c r="G23" i="73"/>
  <c r="F23" i="73"/>
  <c r="E23" i="73"/>
  <c r="D23" i="73"/>
  <c r="M22" i="73"/>
  <c r="L22" i="73"/>
  <c r="K22" i="73"/>
  <c r="J22" i="73"/>
  <c r="I22" i="73"/>
  <c r="H22" i="73"/>
  <c r="G22" i="73"/>
  <c r="F22" i="73"/>
  <c r="E22" i="73"/>
  <c r="D22" i="73"/>
  <c r="M21" i="73"/>
  <c r="L21" i="73"/>
  <c r="K21" i="73"/>
  <c r="J21" i="73"/>
  <c r="H21" i="73"/>
  <c r="G21" i="73"/>
  <c r="F21" i="73"/>
  <c r="E21" i="73"/>
  <c r="D21" i="73"/>
  <c r="M20" i="73"/>
  <c r="L20" i="73"/>
  <c r="K20" i="73"/>
  <c r="J20" i="73"/>
  <c r="H20" i="73"/>
  <c r="G20" i="73"/>
  <c r="F20" i="73"/>
  <c r="E20" i="73"/>
  <c r="D20" i="73"/>
  <c r="R19" i="73"/>
  <c r="O19" i="73"/>
  <c r="M19" i="73"/>
  <c r="L19" i="73"/>
  <c r="K19" i="73"/>
  <c r="J19" i="73"/>
  <c r="H19" i="73"/>
  <c r="G19" i="73"/>
  <c r="F19" i="73"/>
  <c r="E19" i="73"/>
  <c r="D19" i="73"/>
  <c r="M18" i="73"/>
  <c r="L18" i="73"/>
  <c r="K18" i="73"/>
  <c r="J18" i="73"/>
  <c r="H18" i="73"/>
  <c r="G18" i="73"/>
  <c r="F18" i="73"/>
  <c r="E18" i="73"/>
  <c r="D18" i="73"/>
  <c r="M17" i="73"/>
  <c r="L17" i="73"/>
  <c r="K17" i="73"/>
  <c r="J17" i="73"/>
  <c r="H17" i="73"/>
  <c r="G17" i="73"/>
  <c r="F17" i="73"/>
  <c r="E17" i="73"/>
  <c r="D17" i="73"/>
  <c r="M16" i="73"/>
  <c r="L16" i="73"/>
  <c r="K16" i="73"/>
  <c r="J16" i="73"/>
  <c r="I16" i="73"/>
  <c r="H16" i="73"/>
  <c r="G16" i="73"/>
  <c r="F16" i="73"/>
  <c r="E16" i="73"/>
  <c r="D16" i="73"/>
  <c r="M15" i="73"/>
  <c r="L15" i="73"/>
  <c r="K15" i="73"/>
  <c r="J15" i="73"/>
  <c r="H15" i="73"/>
  <c r="G15" i="73"/>
  <c r="F15" i="73"/>
  <c r="E15" i="73"/>
  <c r="D15" i="73"/>
  <c r="M14" i="73"/>
  <c r="L14" i="73"/>
  <c r="K14" i="73"/>
  <c r="J14" i="73"/>
  <c r="H14" i="73"/>
  <c r="G14" i="73"/>
  <c r="F14" i="73"/>
  <c r="E14" i="73"/>
  <c r="D14" i="73"/>
  <c r="O13" i="73"/>
  <c r="M13" i="73"/>
  <c r="L13" i="73"/>
  <c r="K13" i="73"/>
  <c r="J13" i="73"/>
  <c r="H13" i="73"/>
  <c r="G13" i="73"/>
  <c r="F13" i="73"/>
  <c r="E13" i="73"/>
  <c r="D13" i="73"/>
  <c r="D4" i="73"/>
  <c r="M32" i="72"/>
  <c r="B32" i="72"/>
  <c r="S31" i="73"/>
  <c r="R31" i="73"/>
  <c r="O31" i="73"/>
  <c r="N31" i="72"/>
  <c r="N31" i="73" s="1"/>
  <c r="I31" i="73"/>
  <c r="Y30" i="72"/>
  <c r="S30" i="73"/>
  <c r="R30" i="73"/>
  <c r="N30" i="72"/>
  <c r="N30" i="73" s="1"/>
  <c r="I30" i="73"/>
  <c r="Y29" i="72"/>
  <c r="O29" i="73"/>
  <c r="N29" i="72"/>
  <c r="I29" i="73"/>
  <c r="V32" i="72"/>
  <c r="O28" i="73"/>
  <c r="N28" i="72"/>
  <c r="N28" i="73" s="1"/>
  <c r="I28" i="73"/>
  <c r="Y27" i="72"/>
  <c r="S27" i="73"/>
  <c r="R27" i="73"/>
  <c r="O27" i="73"/>
  <c r="N27" i="72"/>
  <c r="S26" i="73"/>
  <c r="R26" i="73"/>
  <c r="O26" i="73"/>
  <c r="N26" i="72"/>
  <c r="I26" i="73"/>
  <c r="N25" i="72"/>
  <c r="N25" i="73" s="1"/>
  <c r="I25" i="73"/>
  <c r="S24" i="73"/>
  <c r="R24" i="73"/>
  <c r="O24" i="73"/>
  <c r="N24" i="72"/>
  <c r="N24" i="73" s="1"/>
  <c r="I24" i="73"/>
  <c r="S23" i="73"/>
  <c r="R23" i="73"/>
  <c r="O23" i="73"/>
  <c r="N23" i="72"/>
  <c r="N23" i="73" s="1"/>
  <c r="I23" i="73"/>
  <c r="S22" i="73"/>
  <c r="R22" i="73"/>
  <c r="O22" i="73"/>
  <c r="N22" i="72"/>
  <c r="N22" i="73" s="1"/>
  <c r="S21" i="73"/>
  <c r="R21" i="73"/>
  <c r="O21" i="73"/>
  <c r="N21" i="72"/>
  <c r="N21" i="73" s="1"/>
  <c r="I21" i="73"/>
  <c r="S20" i="73"/>
  <c r="R20" i="73"/>
  <c r="O20" i="73"/>
  <c r="N20" i="72"/>
  <c r="N20" i="73" s="1"/>
  <c r="I20" i="73"/>
  <c r="S19" i="73"/>
  <c r="N19" i="72"/>
  <c r="N19" i="73" s="1"/>
  <c r="I19" i="73"/>
  <c r="S18" i="73"/>
  <c r="R18" i="73"/>
  <c r="O18" i="73"/>
  <c r="N18" i="72"/>
  <c r="N18" i="73" s="1"/>
  <c r="I18" i="73"/>
  <c r="S17" i="73"/>
  <c r="R17" i="73"/>
  <c r="O17" i="73"/>
  <c r="N17" i="72"/>
  <c r="N17" i="73" s="1"/>
  <c r="I17" i="73"/>
  <c r="S16" i="73"/>
  <c r="R16" i="73"/>
  <c r="O16" i="73"/>
  <c r="N16" i="72"/>
  <c r="N16" i="73" s="1"/>
  <c r="S15" i="73"/>
  <c r="R15" i="73"/>
  <c r="O15" i="73"/>
  <c r="N15" i="72"/>
  <c r="N15" i="73" s="1"/>
  <c r="I15" i="73"/>
  <c r="S14" i="73"/>
  <c r="R14" i="73"/>
  <c r="O14" i="73"/>
  <c r="N14" i="72"/>
  <c r="N14" i="73" s="1"/>
  <c r="I14" i="73"/>
  <c r="Z13" i="72"/>
  <c r="Z14" i="72" s="1"/>
  <c r="S13" i="73"/>
  <c r="R13" i="73"/>
  <c r="O32" i="72"/>
  <c r="N13" i="72"/>
  <c r="I32" i="72"/>
  <c r="I32" i="73" s="1"/>
  <c r="AA12" i="72"/>
  <c r="AB12" i="72" s="1"/>
  <c r="D4" i="72"/>
  <c r="H42" i="71"/>
  <c r="D42" i="71"/>
  <c r="C42" i="71"/>
  <c r="B42" i="71"/>
  <c r="H41" i="71"/>
  <c r="F41" i="71"/>
  <c r="B41" i="71"/>
  <c r="H40" i="71"/>
  <c r="C40" i="71"/>
  <c r="B40" i="71"/>
  <c r="H39" i="71"/>
  <c r="F39" i="71"/>
  <c r="F38" i="71" s="1"/>
  <c r="B39" i="71"/>
  <c r="H37" i="71"/>
  <c r="D37" i="71"/>
  <c r="B37" i="71"/>
  <c r="H36" i="71"/>
  <c r="B36" i="71"/>
  <c r="H35" i="71"/>
  <c r="F35" i="71"/>
  <c r="E35" i="71"/>
  <c r="D35" i="71"/>
  <c r="B35" i="71"/>
  <c r="H34" i="71"/>
  <c r="B34" i="71"/>
  <c r="H33" i="71"/>
  <c r="F33" i="71"/>
  <c r="E33" i="71"/>
  <c r="D33" i="71"/>
  <c r="B33" i="71"/>
  <c r="H32" i="71"/>
  <c r="B32" i="71"/>
  <c r="H31" i="71"/>
  <c r="D31" i="71"/>
  <c r="B31" i="71"/>
  <c r="H30" i="71"/>
  <c r="B30" i="71"/>
  <c r="H29" i="71"/>
  <c r="F29" i="71"/>
  <c r="E29" i="71"/>
  <c r="D29" i="71"/>
  <c r="B29" i="71"/>
  <c r="H28" i="71"/>
  <c r="B28" i="71"/>
  <c r="H27" i="71"/>
  <c r="F27" i="71"/>
  <c r="E27" i="71"/>
  <c r="D27" i="71"/>
  <c r="B27" i="71"/>
  <c r="H26" i="71"/>
  <c r="B26" i="71"/>
  <c r="H25" i="71"/>
  <c r="D25" i="71"/>
  <c r="B25" i="71"/>
  <c r="H24" i="71"/>
  <c r="B24" i="71"/>
  <c r="H23" i="71"/>
  <c r="F23" i="71"/>
  <c r="E23" i="71"/>
  <c r="D23" i="71"/>
  <c r="B23" i="71"/>
  <c r="H22" i="71"/>
  <c r="B22" i="71"/>
  <c r="H21" i="71"/>
  <c r="D21" i="71"/>
  <c r="B21" i="71"/>
  <c r="H20" i="71"/>
  <c r="B20" i="71"/>
  <c r="H19" i="71"/>
  <c r="C19" i="71"/>
  <c r="B19" i="71"/>
  <c r="H18" i="71"/>
  <c r="E18" i="71"/>
  <c r="D18" i="71"/>
  <c r="C18" i="71"/>
  <c r="B18" i="71"/>
  <c r="H17" i="71"/>
  <c r="F17" i="71"/>
  <c r="E17" i="71"/>
  <c r="D17" i="71"/>
  <c r="B17" i="71"/>
  <c r="H16" i="71"/>
  <c r="F16" i="71"/>
  <c r="B16" i="71"/>
  <c r="H15" i="71"/>
  <c r="B15" i="71"/>
  <c r="H14" i="71"/>
  <c r="B14" i="71"/>
  <c r="D4" i="71"/>
  <c r="F42" i="71"/>
  <c r="E42" i="71"/>
  <c r="E41" i="71"/>
  <c r="D40" i="70"/>
  <c r="C40" i="70"/>
  <c r="F40" i="70"/>
  <c r="E40" i="70"/>
  <c r="F40" i="71"/>
  <c r="E40" i="71"/>
  <c r="D40" i="71"/>
  <c r="E39" i="71"/>
  <c r="D39" i="71"/>
  <c r="C39" i="71"/>
  <c r="F37" i="71"/>
  <c r="E37" i="71"/>
  <c r="C37" i="71"/>
  <c r="F36" i="71"/>
  <c r="E36" i="71"/>
  <c r="D36" i="71"/>
  <c r="C36" i="71"/>
  <c r="C35" i="71"/>
  <c r="F34" i="71"/>
  <c r="E34" i="71"/>
  <c r="D34" i="71"/>
  <c r="C34" i="71"/>
  <c r="C33" i="71"/>
  <c r="F32" i="71"/>
  <c r="E32" i="71"/>
  <c r="D32" i="71"/>
  <c r="C32" i="71"/>
  <c r="F31" i="71"/>
  <c r="M17" i="70"/>
  <c r="C31" i="71"/>
  <c r="F30" i="71"/>
  <c r="E30" i="71"/>
  <c r="D30" i="71"/>
  <c r="C30" i="71"/>
  <c r="C29" i="71"/>
  <c r="F28" i="71"/>
  <c r="E28" i="71"/>
  <c r="D28" i="71"/>
  <c r="C28" i="71"/>
  <c r="C27" i="71"/>
  <c r="F26" i="71"/>
  <c r="E26" i="71"/>
  <c r="D26" i="71"/>
  <c r="K14" i="70"/>
  <c r="F25" i="71"/>
  <c r="E25" i="71"/>
  <c r="C25" i="71"/>
  <c r="F24" i="71"/>
  <c r="E24" i="71"/>
  <c r="D24" i="71"/>
  <c r="C24" i="71"/>
  <c r="C23" i="71"/>
  <c r="F22" i="71"/>
  <c r="E22" i="71"/>
  <c r="D22" i="71"/>
  <c r="C22" i="71"/>
  <c r="F13" i="70"/>
  <c r="F44" i="70" s="1"/>
  <c r="E13" i="70"/>
  <c r="E44" i="70" s="1"/>
  <c r="D13" i="70"/>
  <c r="C21" i="71"/>
  <c r="F20" i="71"/>
  <c r="E20" i="71"/>
  <c r="D20" i="71"/>
  <c r="C20" i="71"/>
  <c r="F19" i="71"/>
  <c r="E19" i="71"/>
  <c r="D19" i="71"/>
  <c r="N18" i="70"/>
  <c r="N18" i="71" s="1"/>
  <c r="T18" i="71" s="1"/>
  <c r="M18" i="70"/>
  <c r="M18" i="71" s="1"/>
  <c r="S18" i="71" s="1"/>
  <c r="L18" i="70"/>
  <c r="L18" i="71" s="1"/>
  <c r="R18" i="71" s="1"/>
  <c r="K18" i="70"/>
  <c r="K18" i="71" s="1"/>
  <c r="Q18" i="71" s="1"/>
  <c r="F18" i="71"/>
  <c r="N17" i="70"/>
  <c r="N17" i="71" s="1"/>
  <c r="L17" i="70"/>
  <c r="L17" i="71" s="1"/>
  <c r="C17" i="71"/>
  <c r="E16" i="71"/>
  <c r="D16" i="71"/>
  <c r="C16" i="71"/>
  <c r="N15" i="70"/>
  <c r="N15" i="71" s="1"/>
  <c r="T17" i="71" s="1"/>
  <c r="M15" i="70"/>
  <c r="M15" i="71" s="1"/>
  <c r="S17" i="71" s="1"/>
  <c r="L15" i="70"/>
  <c r="L15" i="71" s="1"/>
  <c r="R17" i="71" s="1"/>
  <c r="F15" i="71"/>
  <c r="E15" i="71"/>
  <c r="D15" i="71"/>
  <c r="C15" i="71"/>
  <c r="N14" i="70"/>
  <c r="M14" i="70"/>
  <c r="M13" i="70" s="1"/>
  <c r="L14" i="70"/>
  <c r="L14" i="71" s="1"/>
  <c r="F14" i="71"/>
  <c r="E14" i="71"/>
  <c r="D14" i="71"/>
  <c r="D13" i="71" s="1"/>
  <c r="C14" i="71"/>
  <c r="D4" i="70"/>
  <c r="D4" i="69"/>
  <c r="C45" i="68"/>
  <c r="B45" i="68"/>
  <c r="F44" i="68"/>
  <c r="I43" i="68"/>
  <c r="F43" i="68"/>
  <c r="F42" i="68"/>
  <c r="F41" i="68"/>
  <c r="F40" i="68"/>
  <c r="F39" i="68"/>
  <c r="F38" i="68"/>
  <c r="I37" i="68"/>
  <c r="F37" i="68"/>
  <c r="F36" i="68"/>
  <c r="F35" i="68"/>
  <c r="F34" i="68"/>
  <c r="F33" i="68"/>
  <c r="I32" i="68"/>
  <c r="F32" i="68"/>
  <c r="I31" i="68"/>
  <c r="F31" i="68"/>
  <c r="F30" i="68"/>
  <c r="F29" i="68"/>
  <c r="F28" i="68"/>
  <c r="F27" i="68"/>
  <c r="F26" i="68"/>
  <c r="F25" i="68"/>
  <c r="F24" i="68"/>
  <c r="F23" i="68"/>
  <c r="D23" i="68"/>
  <c r="F22" i="68"/>
  <c r="F21" i="68"/>
  <c r="F20" i="68"/>
  <c r="D20" i="68"/>
  <c r="F19" i="68"/>
  <c r="F18" i="68"/>
  <c r="F17" i="68"/>
  <c r="F16" i="68"/>
  <c r="F15" i="68"/>
  <c r="F14" i="68"/>
  <c r="F13" i="68"/>
  <c r="F12" i="68"/>
  <c r="F11" i="68"/>
  <c r="D4" i="68"/>
  <c r="S44" i="67"/>
  <c r="R44" i="67"/>
  <c r="Q44" i="67"/>
  <c r="P44" i="67"/>
  <c r="O44" i="67"/>
  <c r="N44" i="67"/>
  <c r="M44" i="67"/>
  <c r="L44" i="67"/>
  <c r="I44" i="67"/>
  <c r="H44" i="67"/>
  <c r="G44" i="67"/>
  <c r="F44" i="67"/>
  <c r="E44" i="67"/>
  <c r="D44" i="67"/>
  <c r="C44" i="67"/>
  <c r="B44" i="67"/>
  <c r="T43" i="67"/>
  <c r="S43" i="67"/>
  <c r="R43" i="67"/>
  <c r="Q43" i="67"/>
  <c r="P43" i="67"/>
  <c r="O43" i="67"/>
  <c r="N43" i="67"/>
  <c r="M43" i="67"/>
  <c r="L43" i="67"/>
  <c r="I43" i="67"/>
  <c r="H43" i="67"/>
  <c r="G43" i="67"/>
  <c r="F43" i="67"/>
  <c r="E43" i="67"/>
  <c r="D43" i="67"/>
  <c r="C43" i="67"/>
  <c r="B43" i="67"/>
  <c r="V42" i="67"/>
  <c r="S42" i="67"/>
  <c r="Q42" i="67"/>
  <c r="O42" i="67"/>
  <c r="N42" i="67"/>
  <c r="M42" i="67"/>
  <c r="L42" i="67"/>
  <c r="K42" i="67"/>
  <c r="J42" i="67"/>
  <c r="I42" i="67"/>
  <c r="H42" i="67"/>
  <c r="G42" i="67"/>
  <c r="F42" i="67"/>
  <c r="E42" i="67"/>
  <c r="D42" i="67"/>
  <c r="C42" i="67"/>
  <c r="B42" i="67"/>
  <c r="U41" i="67"/>
  <c r="T41" i="67"/>
  <c r="S41" i="67"/>
  <c r="R41" i="67"/>
  <c r="Q41" i="67"/>
  <c r="O41" i="67"/>
  <c r="N41" i="67"/>
  <c r="M41" i="67"/>
  <c r="L41" i="67"/>
  <c r="J41" i="67"/>
  <c r="I41" i="67"/>
  <c r="H41" i="67"/>
  <c r="G41" i="67"/>
  <c r="F41" i="67"/>
  <c r="E41" i="67"/>
  <c r="D41" i="67"/>
  <c r="C41" i="67"/>
  <c r="B41" i="67"/>
  <c r="V40" i="67"/>
  <c r="U40" i="67"/>
  <c r="T40" i="67"/>
  <c r="P40" i="67"/>
  <c r="M40" i="67"/>
  <c r="L40" i="67"/>
  <c r="I40" i="67"/>
  <c r="H40" i="67"/>
  <c r="G40" i="67"/>
  <c r="F40" i="67"/>
  <c r="D40" i="67"/>
  <c r="C40" i="67"/>
  <c r="T39" i="67"/>
  <c r="S39" i="67"/>
  <c r="R39" i="67"/>
  <c r="Q39" i="67"/>
  <c r="O39" i="67"/>
  <c r="N39" i="67"/>
  <c r="M39" i="67"/>
  <c r="L39" i="67"/>
  <c r="J39" i="67"/>
  <c r="I39" i="67"/>
  <c r="H39" i="67"/>
  <c r="G39" i="67"/>
  <c r="F39" i="67"/>
  <c r="E39" i="67"/>
  <c r="D39" i="67"/>
  <c r="C39" i="67"/>
  <c r="B39" i="67"/>
  <c r="S38" i="67"/>
  <c r="R38" i="67"/>
  <c r="Q38" i="67"/>
  <c r="P38" i="67"/>
  <c r="O38" i="67"/>
  <c r="N38" i="67"/>
  <c r="M38" i="67"/>
  <c r="L38" i="67"/>
  <c r="I38" i="67"/>
  <c r="H38" i="67"/>
  <c r="G38" i="67"/>
  <c r="F38" i="67"/>
  <c r="E38" i="67"/>
  <c r="D38" i="67"/>
  <c r="C38" i="67"/>
  <c r="B38" i="67"/>
  <c r="V37" i="67"/>
  <c r="U37" i="67"/>
  <c r="O37" i="67"/>
  <c r="N37" i="67"/>
  <c r="M37" i="67"/>
  <c r="L37" i="67"/>
  <c r="K37" i="67"/>
  <c r="J37" i="67"/>
  <c r="I37" i="67"/>
  <c r="H37" i="67"/>
  <c r="G37" i="67"/>
  <c r="F37" i="67"/>
  <c r="E37" i="67"/>
  <c r="D37" i="67"/>
  <c r="C37" i="67"/>
  <c r="V36" i="67"/>
  <c r="U36" i="67"/>
  <c r="T36" i="67"/>
  <c r="S36" i="67"/>
  <c r="R36" i="67"/>
  <c r="Q36" i="67"/>
  <c r="O36" i="67"/>
  <c r="N36" i="67"/>
  <c r="M36" i="67"/>
  <c r="L36" i="67"/>
  <c r="I36" i="67"/>
  <c r="H36" i="67"/>
  <c r="G36" i="67"/>
  <c r="F36" i="67"/>
  <c r="E36" i="67"/>
  <c r="D36" i="67"/>
  <c r="C36" i="67"/>
  <c r="B36" i="67"/>
  <c r="V35" i="67"/>
  <c r="U35" i="67"/>
  <c r="T35" i="67"/>
  <c r="O35" i="67"/>
  <c r="N35" i="67"/>
  <c r="M35" i="67"/>
  <c r="L35" i="67"/>
  <c r="I35" i="67"/>
  <c r="H35" i="67"/>
  <c r="G35" i="67"/>
  <c r="F35" i="67"/>
  <c r="E35" i="67"/>
  <c r="D35" i="67"/>
  <c r="C35" i="67"/>
  <c r="V34" i="67"/>
  <c r="U34" i="67"/>
  <c r="T34" i="67"/>
  <c r="S34" i="67"/>
  <c r="R34" i="67"/>
  <c r="Q34" i="67"/>
  <c r="O34" i="67"/>
  <c r="N34" i="67"/>
  <c r="M34" i="67"/>
  <c r="L34" i="67"/>
  <c r="I34" i="67"/>
  <c r="H34" i="67"/>
  <c r="G34" i="67"/>
  <c r="F34" i="67"/>
  <c r="E34" i="67"/>
  <c r="D34" i="67"/>
  <c r="C34" i="67"/>
  <c r="B34" i="67"/>
  <c r="V33" i="67"/>
  <c r="U33" i="67"/>
  <c r="T33" i="67"/>
  <c r="O33" i="67"/>
  <c r="K33" i="67"/>
  <c r="J33" i="67"/>
  <c r="I33" i="67"/>
  <c r="H33" i="67"/>
  <c r="G33" i="67"/>
  <c r="E33" i="67"/>
  <c r="D33" i="67"/>
  <c r="C33" i="67"/>
  <c r="V32" i="67"/>
  <c r="U32" i="67"/>
  <c r="T32" i="67"/>
  <c r="O32" i="67"/>
  <c r="K32" i="67"/>
  <c r="J32" i="67"/>
  <c r="I32" i="67"/>
  <c r="H32" i="67"/>
  <c r="G32" i="67"/>
  <c r="E32" i="67"/>
  <c r="D32" i="67"/>
  <c r="C32" i="67"/>
  <c r="V31" i="67"/>
  <c r="U31" i="67"/>
  <c r="T31" i="67"/>
  <c r="S31" i="67"/>
  <c r="R31" i="67"/>
  <c r="Q31" i="67"/>
  <c r="P31" i="67"/>
  <c r="O31" i="67"/>
  <c r="N31" i="67"/>
  <c r="M31" i="67"/>
  <c r="L31" i="67"/>
  <c r="J31" i="67"/>
  <c r="I31" i="67"/>
  <c r="H31" i="67"/>
  <c r="G31" i="67"/>
  <c r="F31" i="67"/>
  <c r="E31" i="67"/>
  <c r="D31" i="67"/>
  <c r="C31" i="67"/>
  <c r="B31" i="67"/>
  <c r="V30" i="67"/>
  <c r="U30" i="67"/>
  <c r="T30" i="67"/>
  <c r="P30" i="67"/>
  <c r="O30" i="67"/>
  <c r="N30" i="67"/>
  <c r="M30" i="67"/>
  <c r="L30" i="67"/>
  <c r="J30" i="67"/>
  <c r="I30" i="67"/>
  <c r="H30" i="67"/>
  <c r="G30" i="67"/>
  <c r="F30" i="67"/>
  <c r="E30" i="67"/>
  <c r="D30" i="67"/>
  <c r="C30" i="67"/>
  <c r="V29" i="67"/>
  <c r="U29" i="67"/>
  <c r="T29" i="67"/>
  <c r="S29" i="67"/>
  <c r="R29" i="67"/>
  <c r="Q29" i="67"/>
  <c r="O29" i="67"/>
  <c r="N29" i="67"/>
  <c r="M29" i="67"/>
  <c r="L29" i="67"/>
  <c r="I29" i="67"/>
  <c r="H29" i="67"/>
  <c r="G29" i="67"/>
  <c r="F29" i="67"/>
  <c r="E29" i="67"/>
  <c r="D29" i="67"/>
  <c r="C29" i="67"/>
  <c r="B29" i="67"/>
  <c r="V28" i="67"/>
  <c r="U28" i="67"/>
  <c r="T28" i="67"/>
  <c r="P28" i="67"/>
  <c r="O28" i="67"/>
  <c r="N28" i="67"/>
  <c r="M28" i="67"/>
  <c r="L28" i="67"/>
  <c r="I28" i="67"/>
  <c r="H28" i="67"/>
  <c r="G28" i="67"/>
  <c r="F28" i="67"/>
  <c r="E28" i="67"/>
  <c r="D28" i="67"/>
  <c r="C28" i="67"/>
  <c r="V27" i="67"/>
  <c r="U27" i="67"/>
  <c r="T27" i="67"/>
  <c r="S27" i="67"/>
  <c r="R27" i="67"/>
  <c r="Q27" i="67"/>
  <c r="O27" i="67"/>
  <c r="N27" i="67"/>
  <c r="M27" i="67"/>
  <c r="L27" i="67"/>
  <c r="J27" i="67"/>
  <c r="I27" i="67"/>
  <c r="H27" i="67"/>
  <c r="G27" i="67"/>
  <c r="F27" i="67"/>
  <c r="E27" i="67"/>
  <c r="D27" i="67"/>
  <c r="C27" i="67"/>
  <c r="B27" i="67"/>
  <c r="U26" i="67"/>
  <c r="T26" i="67"/>
  <c r="S26" i="67"/>
  <c r="R26" i="67"/>
  <c r="Q26" i="67"/>
  <c r="O26" i="67"/>
  <c r="N26" i="67"/>
  <c r="M26" i="67"/>
  <c r="L26" i="67"/>
  <c r="I26" i="67"/>
  <c r="H26" i="67"/>
  <c r="G26" i="67"/>
  <c r="F26" i="67"/>
  <c r="E26" i="67"/>
  <c r="D26" i="67"/>
  <c r="C26" i="67"/>
  <c r="B26" i="67"/>
  <c r="T25" i="67"/>
  <c r="S25" i="67"/>
  <c r="R25" i="67"/>
  <c r="Q25" i="67"/>
  <c r="P25" i="67"/>
  <c r="O25" i="67"/>
  <c r="N25" i="67"/>
  <c r="M25" i="67"/>
  <c r="L25" i="67"/>
  <c r="I25" i="67"/>
  <c r="H25" i="67"/>
  <c r="G25" i="67"/>
  <c r="F25" i="67"/>
  <c r="E25" i="67"/>
  <c r="D25" i="67"/>
  <c r="C25" i="67"/>
  <c r="B25" i="67"/>
  <c r="S24" i="67"/>
  <c r="R24" i="67"/>
  <c r="Q24" i="67"/>
  <c r="O24" i="67"/>
  <c r="N24" i="67"/>
  <c r="M24" i="67"/>
  <c r="L24" i="67"/>
  <c r="I24" i="67"/>
  <c r="H24" i="67"/>
  <c r="G24" i="67"/>
  <c r="F24" i="67"/>
  <c r="E24" i="67"/>
  <c r="D24" i="67"/>
  <c r="C24" i="67"/>
  <c r="B24" i="67"/>
  <c r="U23" i="67"/>
  <c r="T23" i="67"/>
  <c r="S23" i="67"/>
  <c r="R23" i="67"/>
  <c r="Q23" i="67"/>
  <c r="O23" i="67"/>
  <c r="N23" i="67"/>
  <c r="M23" i="67"/>
  <c r="L23" i="67"/>
  <c r="J23" i="67"/>
  <c r="I23" i="67"/>
  <c r="H23" i="67"/>
  <c r="G23" i="67"/>
  <c r="F23" i="67"/>
  <c r="E23" i="67"/>
  <c r="C23" i="67"/>
  <c r="B23" i="67"/>
  <c r="S22" i="67"/>
  <c r="R22" i="67"/>
  <c r="Q22" i="67"/>
  <c r="O22" i="67"/>
  <c r="N22" i="67"/>
  <c r="M22" i="67"/>
  <c r="L22" i="67"/>
  <c r="I22" i="67"/>
  <c r="H22" i="67"/>
  <c r="G22" i="67"/>
  <c r="F22" i="67"/>
  <c r="E22" i="67"/>
  <c r="D22" i="67"/>
  <c r="C22" i="67"/>
  <c r="B22" i="67"/>
  <c r="T21" i="67"/>
  <c r="S21" i="67"/>
  <c r="R21" i="67"/>
  <c r="Q21" i="67"/>
  <c r="P21" i="67"/>
  <c r="O21" i="67"/>
  <c r="N21" i="67"/>
  <c r="M21" i="67"/>
  <c r="L21" i="67"/>
  <c r="I21" i="67"/>
  <c r="H21" i="67"/>
  <c r="G21" i="67"/>
  <c r="F21" i="67"/>
  <c r="E21" i="67"/>
  <c r="D21" i="67"/>
  <c r="C21" i="67"/>
  <c r="B21" i="67"/>
  <c r="P20" i="67"/>
  <c r="O20" i="67"/>
  <c r="N20" i="67"/>
  <c r="M20" i="67"/>
  <c r="L20" i="67"/>
  <c r="I20" i="67"/>
  <c r="H20" i="67"/>
  <c r="G20" i="67"/>
  <c r="F20" i="67"/>
  <c r="E20" i="67"/>
  <c r="C20" i="67"/>
  <c r="S19" i="67"/>
  <c r="R19" i="67"/>
  <c r="Q19" i="67"/>
  <c r="P19" i="67"/>
  <c r="O19" i="67"/>
  <c r="N19" i="67"/>
  <c r="M19" i="67"/>
  <c r="L19" i="67"/>
  <c r="I19" i="67"/>
  <c r="H19" i="67"/>
  <c r="G19" i="67"/>
  <c r="F19" i="67"/>
  <c r="E19" i="67"/>
  <c r="D19" i="67"/>
  <c r="C19" i="67"/>
  <c r="B19" i="67"/>
  <c r="V18" i="67"/>
  <c r="U18" i="67"/>
  <c r="T18" i="67"/>
  <c r="S18" i="67"/>
  <c r="R18" i="67"/>
  <c r="Q18" i="67"/>
  <c r="P18" i="67"/>
  <c r="O18" i="67"/>
  <c r="N18" i="67"/>
  <c r="M18" i="67"/>
  <c r="L18" i="67"/>
  <c r="I18" i="67"/>
  <c r="H18" i="67"/>
  <c r="G18" i="67"/>
  <c r="F18" i="67"/>
  <c r="E18" i="67"/>
  <c r="D18" i="67"/>
  <c r="C18" i="67"/>
  <c r="B18" i="67"/>
  <c r="V17" i="67"/>
  <c r="S17" i="67"/>
  <c r="R17" i="67"/>
  <c r="Q17" i="67"/>
  <c r="O17" i="67"/>
  <c r="N17" i="67"/>
  <c r="M17" i="67"/>
  <c r="L17" i="67"/>
  <c r="J17" i="67"/>
  <c r="I17" i="67"/>
  <c r="H17" i="67"/>
  <c r="G17" i="67"/>
  <c r="F17" i="67"/>
  <c r="E17" i="67"/>
  <c r="D17" i="67"/>
  <c r="C17" i="67"/>
  <c r="B17" i="67"/>
  <c r="V16" i="67"/>
  <c r="U16" i="67"/>
  <c r="T16" i="67"/>
  <c r="S16" i="67"/>
  <c r="R16" i="67"/>
  <c r="Q16" i="67"/>
  <c r="O16" i="67"/>
  <c r="N16" i="67"/>
  <c r="M16" i="67"/>
  <c r="L16" i="67"/>
  <c r="J16" i="67"/>
  <c r="I16" i="67"/>
  <c r="H16" i="67"/>
  <c r="G16" i="67"/>
  <c r="F16" i="67"/>
  <c r="E16" i="67"/>
  <c r="D16" i="67"/>
  <c r="C16" i="67"/>
  <c r="B16" i="67"/>
  <c r="S15" i="67"/>
  <c r="R15" i="67"/>
  <c r="Q15" i="67"/>
  <c r="I15" i="67"/>
  <c r="H15" i="67"/>
  <c r="G15" i="67"/>
  <c r="E15" i="67"/>
  <c r="D15" i="67"/>
  <c r="C15" i="67"/>
  <c r="V14" i="67"/>
  <c r="U14" i="67"/>
  <c r="T14" i="67"/>
  <c r="S14" i="67"/>
  <c r="R14" i="67"/>
  <c r="Q14" i="67"/>
  <c r="I14" i="67"/>
  <c r="H14" i="67"/>
  <c r="G14" i="67"/>
  <c r="E14" i="67"/>
  <c r="D14" i="67"/>
  <c r="C14" i="67"/>
  <c r="V13" i="67"/>
  <c r="U13" i="67"/>
  <c r="T13" i="67"/>
  <c r="S13" i="67"/>
  <c r="R13" i="67"/>
  <c r="Q13" i="67"/>
  <c r="I13" i="67"/>
  <c r="H13" i="67"/>
  <c r="G13" i="67"/>
  <c r="E13" i="67"/>
  <c r="D13" i="67"/>
  <c r="C13" i="67"/>
  <c r="V12" i="67"/>
  <c r="S12" i="67"/>
  <c r="R12" i="67"/>
  <c r="Q12" i="67"/>
  <c r="I12" i="67"/>
  <c r="H12" i="67"/>
  <c r="G12" i="67"/>
  <c r="E12" i="67"/>
  <c r="D12" i="67"/>
  <c r="C12" i="67"/>
  <c r="S11" i="67"/>
  <c r="R11" i="67"/>
  <c r="Q11" i="67"/>
  <c r="O11" i="67"/>
  <c r="N11" i="67"/>
  <c r="M11" i="67"/>
  <c r="L11" i="67"/>
  <c r="I11" i="67"/>
  <c r="H11" i="67"/>
  <c r="G11" i="67"/>
  <c r="F11" i="67"/>
  <c r="E11" i="67"/>
  <c r="D11" i="67"/>
  <c r="C11" i="67"/>
  <c r="C45" i="67" s="1"/>
  <c r="B11" i="67"/>
  <c r="B45" i="67" s="1"/>
  <c r="D4" i="67"/>
  <c r="C45" i="66"/>
  <c r="V44" i="67"/>
  <c r="U44" i="67"/>
  <c r="T44" i="67"/>
  <c r="R44" i="66"/>
  <c r="P44" i="66"/>
  <c r="K44" i="66"/>
  <c r="V43" i="67"/>
  <c r="U43" i="67"/>
  <c r="R43" i="66"/>
  <c r="P43" i="66"/>
  <c r="K43" i="66"/>
  <c r="K43" i="67" s="1"/>
  <c r="J43" i="67"/>
  <c r="U42" i="67"/>
  <c r="T42" i="67"/>
  <c r="R42" i="66"/>
  <c r="R42" i="67" s="1"/>
  <c r="P42" i="66"/>
  <c r="P42" i="67" s="1"/>
  <c r="K42" i="66"/>
  <c r="I42" i="68" s="1"/>
  <c r="V41" i="67"/>
  <c r="P41" i="66"/>
  <c r="P41" i="67" s="1"/>
  <c r="K41" i="66"/>
  <c r="J40" i="67"/>
  <c r="V39" i="67"/>
  <c r="U39" i="67"/>
  <c r="P39" i="66"/>
  <c r="P39" i="67" s="1"/>
  <c r="K39" i="66"/>
  <c r="I39" i="68" s="1"/>
  <c r="V38" i="67"/>
  <c r="U38" i="67"/>
  <c r="T38" i="67"/>
  <c r="P38" i="66"/>
  <c r="J38" i="67"/>
  <c r="T37" i="67"/>
  <c r="P37" i="66"/>
  <c r="P37" i="67" s="1"/>
  <c r="K37" i="66"/>
  <c r="P36" i="66"/>
  <c r="P36" i="67" s="1"/>
  <c r="K36" i="66"/>
  <c r="J35" i="67"/>
  <c r="P34" i="66"/>
  <c r="P34" i="67" s="1"/>
  <c r="K34" i="66"/>
  <c r="P33" i="66"/>
  <c r="K33" i="66"/>
  <c r="I33" i="68" s="1"/>
  <c r="K32" i="66"/>
  <c r="P31" i="66"/>
  <c r="K31" i="66"/>
  <c r="K31" i="67" s="1"/>
  <c r="K30" i="66"/>
  <c r="P29" i="66"/>
  <c r="P29" i="67" s="1"/>
  <c r="K29" i="66"/>
  <c r="K28" i="66"/>
  <c r="K28" i="67" s="1"/>
  <c r="J28" i="67"/>
  <c r="P27" i="66"/>
  <c r="P27" i="67" s="1"/>
  <c r="K27" i="66"/>
  <c r="V26" i="67"/>
  <c r="P26" i="66"/>
  <c r="P26" i="67" s="1"/>
  <c r="K26" i="66"/>
  <c r="V25" i="67"/>
  <c r="U25" i="67"/>
  <c r="P25" i="66"/>
  <c r="J25" i="67"/>
  <c r="V24" i="67"/>
  <c r="U24" i="67"/>
  <c r="T24" i="67"/>
  <c r="P24" i="66"/>
  <c r="P24" i="67" s="1"/>
  <c r="J24" i="67"/>
  <c r="V23" i="67"/>
  <c r="P23" i="66"/>
  <c r="P23" i="67" s="1"/>
  <c r="K23" i="66"/>
  <c r="D23" i="66"/>
  <c r="D23" i="67" s="1"/>
  <c r="V22" i="67"/>
  <c r="U22" i="67"/>
  <c r="T22" i="67"/>
  <c r="P22" i="66"/>
  <c r="P22" i="67" s="1"/>
  <c r="J22" i="67"/>
  <c r="V21" i="67"/>
  <c r="U21" i="67"/>
  <c r="P21" i="66"/>
  <c r="J21" i="67"/>
  <c r="K20" i="66"/>
  <c r="D20" i="66"/>
  <c r="D20" i="67" s="1"/>
  <c r="V19" i="67"/>
  <c r="U19" i="67"/>
  <c r="T19" i="67"/>
  <c r="P19" i="66"/>
  <c r="K19" i="66"/>
  <c r="P18" i="66"/>
  <c r="J18" i="67"/>
  <c r="U17" i="67"/>
  <c r="T17" i="67"/>
  <c r="P17" i="66"/>
  <c r="P17" i="67" s="1"/>
  <c r="K17" i="66"/>
  <c r="P16" i="66"/>
  <c r="P16" i="67" s="1"/>
  <c r="K16" i="66"/>
  <c r="V15" i="67"/>
  <c r="V49" i="67" s="1"/>
  <c r="U50" i="66"/>
  <c r="T15" i="67"/>
  <c r="T49" i="67" s="1"/>
  <c r="K15" i="66"/>
  <c r="I15" i="68" s="1"/>
  <c r="J15" i="67"/>
  <c r="J14" i="67"/>
  <c r="J13" i="67"/>
  <c r="U12" i="67"/>
  <c r="T12" i="67"/>
  <c r="K12" i="66"/>
  <c r="K12" i="67" s="1"/>
  <c r="J12" i="67"/>
  <c r="V11" i="67"/>
  <c r="P11" i="66"/>
  <c r="P11" i="67" s="1"/>
  <c r="K11" i="66"/>
  <c r="K11" i="67" s="1"/>
  <c r="J11" i="67"/>
  <c r="D4" i="66"/>
  <c r="T16" i="71" l="1"/>
  <c r="N32" i="72"/>
  <c r="M32" i="73"/>
  <c r="N13" i="73"/>
  <c r="AB15" i="72"/>
  <c r="AC12" i="72"/>
  <c r="AB13" i="72"/>
  <c r="O36" i="72"/>
  <c r="P32" i="73"/>
  <c r="H32" i="72"/>
  <c r="H32" i="73" s="1"/>
  <c r="N32" i="73"/>
  <c r="Q32" i="73"/>
  <c r="O32" i="73"/>
  <c r="I34" i="72"/>
  <c r="N34" i="72"/>
  <c r="Z15" i="72"/>
  <c r="Z16" i="72" s="1"/>
  <c r="AA13" i="72"/>
  <c r="AA14" i="72" s="1"/>
  <c r="N26" i="73"/>
  <c r="Y28" i="72"/>
  <c r="I13" i="73"/>
  <c r="AA15" i="72"/>
  <c r="L16" i="70"/>
  <c r="Q18" i="70"/>
  <c r="L13" i="70"/>
  <c r="N13" i="70"/>
  <c r="L13" i="71"/>
  <c r="R14" i="71"/>
  <c r="R13" i="71" s="1"/>
  <c r="E38" i="71"/>
  <c r="D44" i="70"/>
  <c r="E13" i="71"/>
  <c r="R16" i="71"/>
  <c r="L16" i="71"/>
  <c r="R15" i="71"/>
  <c r="K14" i="71"/>
  <c r="Q14" i="70"/>
  <c r="C13" i="71"/>
  <c r="S16" i="71"/>
  <c r="T15" i="71"/>
  <c r="N16" i="71"/>
  <c r="M16" i="70"/>
  <c r="M19" i="70" s="1"/>
  <c r="M17" i="71"/>
  <c r="S15" i="70"/>
  <c r="E21" i="71"/>
  <c r="R15" i="70"/>
  <c r="R18" i="70"/>
  <c r="S17" i="70"/>
  <c r="N14" i="71"/>
  <c r="S14" i="70"/>
  <c r="S13" i="70" s="1"/>
  <c r="C11" i="70"/>
  <c r="T14" i="70"/>
  <c r="T15" i="70"/>
  <c r="T17" i="70"/>
  <c r="T18" i="70"/>
  <c r="C26" i="71"/>
  <c r="R17" i="70"/>
  <c r="S18" i="70"/>
  <c r="C13" i="70"/>
  <c r="C44" i="70" s="1"/>
  <c r="N16" i="70"/>
  <c r="M14" i="71"/>
  <c r="E31" i="71"/>
  <c r="F21" i="71"/>
  <c r="F13" i="71" s="1"/>
  <c r="F43" i="71" s="1"/>
  <c r="R14" i="70"/>
  <c r="R13" i="70" s="1"/>
  <c r="C41" i="71"/>
  <c r="C38" i="71" s="1"/>
  <c r="C43" i="71" s="1"/>
  <c r="K15" i="70"/>
  <c r="K17" i="70"/>
  <c r="D41" i="71"/>
  <c r="D38" i="71" s="1"/>
  <c r="D43" i="71" s="1"/>
  <c r="I48" i="69"/>
  <c r="B45" i="69"/>
  <c r="C45" i="69"/>
  <c r="I45" i="69"/>
  <c r="I49" i="69"/>
  <c r="I16" i="68"/>
  <c r="K16" i="67"/>
  <c r="I27" i="68"/>
  <c r="K27" i="67"/>
  <c r="K17" i="67"/>
  <c r="I17" i="68"/>
  <c r="V11" i="68" s="1"/>
  <c r="T45" i="66"/>
  <c r="I34" i="68"/>
  <c r="K34" i="67"/>
  <c r="K20" i="67"/>
  <c r="I20" i="68"/>
  <c r="K23" i="67"/>
  <c r="I23" i="68"/>
  <c r="I29" i="68"/>
  <c r="K29" i="67"/>
  <c r="I30" i="68"/>
  <c r="K30" i="67"/>
  <c r="I36" i="68"/>
  <c r="K36" i="67"/>
  <c r="I41" i="68"/>
  <c r="K41" i="67"/>
  <c r="K44" i="67"/>
  <c r="I44" i="68"/>
  <c r="I26" i="68"/>
  <c r="K26" i="67"/>
  <c r="I19" i="68"/>
  <c r="K19" i="67"/>
  <c r="K15" i="67"/>
  <c r="K22" i="66"/>
  <c r="T50" i="66"/>
  <c r="I12" i="68"/>
  <c r="V50" i="66"/>
  <c r="J34" i="67"/>
  <c r="K18" i="66"/>
  <c r="U20" i="67"/>
  <c r="J29" i="67"/>
  <c r="I11" i="68"/>
  <c r="K13" i="66"/>
  <c r="K35" i="66"/>
  <c r="U15" i="67"/>
  <c r="U49" i="67" s="1"/>
  <c r="J26" i="67"/>
  <c r="J36" i="67"/>
  <c r="K39" i="67"/>
  <c r="K38" i="66"/>
  <c r="J19" i="67"/>
  <c r="J44" i="67"/>
  <c r="T20" i="67"/>
  <c r="T48" i="67" s="1"/>
  <c r="T50" i="67" s="1"/>
  <c r="K40" i="66"/>
  <c r="K14" i="66"/>
  <c r="I28" i="68"/>
  <c r="O11" i="68" s="1"/>
  <c r="J20" i="67"/>
  <c r="J45" i="67" s="1"/>
  <c r="J46" i="67" s="1"/>
  <c r="K49" i="66"/>
  <c r="K21" i="66"/>
  <c r="K25" i="66"/>
  <c r="J45" i="66"/>
  <c r="T11" i="67"/>
  <c r="U49" i="66"/>
  <c r="U51" i="66" s="1"/>
  <c r="U11" i="67"/>
  <c r="U48" i="67"/>
  <c r="K24" i="66"/>
  <c r="V49" i="66"/>
  <c r="V51" i="66" s="1"/>
  <c r="AB14" i="72" l="1"/>
  <c r="AA16" i="72"/>
  <c r="AB16" i="72" s="1"/>
  <c r="N19" i="70"/>
  <c r="R16" i="70"/>
  <c r="AC13" i="72"/>
  <c r="AC14" i="72" s="1"/>
  <c r="AC15" i="72"/>
  <c r="AD12" i="72"/>
  <c r="S16" i="70"/>
  <c r="S19" i="70" s="1"/>
  <c r="L19" i="70"/>
  <c r="R19" i="70"/>
  <c r="K16" i="70"/>
  <c r="Q15" i="70"/>
  <c r="K17" i="71"/>
  <c r="E43" i="71"/>
  <c r="K15" i="71"/>
  <c r="Q17" i="71" s="1"/>
  <c r="Q16" i="71" s="1"/>
  <c r="Q17" i="70"/>
  <c r="Q16" i="70" s="1"/>
  <c r="M13" i="71"/>
  <c r="S14" i="71"/>
  <c r="S13" i="71" s="1"/>
  <c r="S19" i="71" s="1"/>
  <c r="K13" i="70"/>
  <c r="R19" i="71"/>
  <c r="Q13" i="70"/>
  <c r="K13" i="71"/>
  <c r="Q14" i="71"/>
  <c r="L19" i="71"/>
  <c r="S15" i="71"/>
  <c r="M16" i="71"/>
  <c r="T16" i="70"/>
  <c r="T13" i="70"/>
  <c r="N13" i="71"/>
  <c r="N19" i="71" s="1"/>
  <c r="T14" i="71"/>
  <c r="T13" i="71" s="1"/>
  <c r="T19" i="71" s="1"/>
  <c r="I50" i="69"/>
  <c r="I51" i="69" s="1"/>
  <c r="R11" i="68"/>
  <c r="K51" i="66"/>
  <c r="K52" i="66" s="1"/>
  <c r="T45" i="67"/>
  <c r="T46" i="67" s="1"/>
  <c r="K18" i="67"/>
  <c r="I18" i="68"/>
  <c r="U11" i="68" s="1"/>
  <c r="V20" i="67"/>
  <c r="V45" i="66"/>
  <c r="I13" i="68"/>
  <c r="K13" i="67"/>
  <c r="K40" i="67"/>
  <c r="I40" i="68"/>
  <c r="T11" i="68"/>
  <c r="K45" i="66"/>
  <c r="I22" i="68"/>
  <c r="P11" i="68" s="1"/>
  <c r="K22" i="67"/>
  <c r="I24" i="68"/>
  <c r="K24" i="67"/>
  <c r="I35" i="68"/>
  <c r="P35" i="66"/>
  <c r="P35" i="67" s="1"/>
  <c r="K35" i="67"/>
  <c r="U50" i="67"/>
  <c r="U45" i="67"/>
  <c r="U46" i="67" s="1"/>
  <c r="K50" i="66"/>
  <c r="K14" i="67"/>
  <c r="K49" i="67" s="1"/>
  <c r="I14" i="68"/>
  <c r="I50" i="68" s="1"/>
  <c r="T49" i="66"/>
  <c r="T51" i="66" s="1"/>
  <c r="T52" i="66" s="1"/>
  <c r="K38" i="67"/>
  <c r="I38" i="68"/>
  <c r="U45" i="66"/>
  <c r="I25" i="68"/>
  <c r="K25" i="67"/>
  <c r="K21" i="67"/>
  <c r="I21" i="68"/>
  <c r="S11" i="68" s="1"/>
  <c r="Q11" i="68"/>
  <c r="AC16" i="72" l="1"/>
  <c r="M19" i="71"/>
  <c r="AD13" i="72"/>
  <c r="AD14" i="72" s="1"/>
  <c r="AE12" i="72"/>
  <c r="AD15" i="72"/>
  <c r="Q19" i="70"/>
  <c r="K19" i="70"/>
  <c r="T19" i="70"/>
  <c r="K16" i="71"/>
  <c r="K19" i="71" s="1"/>
  <c r="Q15" i="71"/>
  <c r="Q13" i="71"/>
  <c r="Q19" i="71" s="1"/>
  <c r="R12" i="68"/>
  <c r="Q12" i="68"/>
  <c r="P12" i="68"/>
  <c r="V12" i="68"/>
  <c r="T12" i="68"/>
  <c r="K45" i="67"/>
  <c r="K46" i="67" s="1"/>
  <c r="K48" i="67"/>
  <c r="K50" i="67" s="1"/>
  <c r="K51" i="67" s="1"/>
  <c r="U12" i="68"/>
  <c r="S12" i="68"/>
  <c r="V48" i="67"/>
  <c r="V50" i="67" s="1"/>
  <c r="V51" i="67" s="1"/>
  <c r="V45" i="67"/>
  <c r="V46" i="67" s="1"/>
  <c r="U51" i="67"/>
  <c r="I45" i="68"/>
  <c r="I49" i="68"/>
  <c r="I51" i="68" s="1"/>
  <c r="I52" i="68" s="1"/>
  <c r="U52" i="66"/>
  <c r="V52" i="66"/>
  <c r="L49" i="66"/>
  <c r="K8" i="66"/>
  <c r="L8" i="66"/>
  <c r="M8" i="66" s="1"/>
  <c r="L50" i="66"/>
  <c r="T51" i="67"/>
  <c r="AD16" i="72" l="1"/>
  <c r="AE13" i="72"/>
  <c r="AE14" i="72" s="1"/>
  <c r="AF12" i="72"/>
  <c r="AE15" i="72"/>
  <c r="AE16" i="72" s="1"/>
  <c r="I8" i="68"/>
  <c r="K8" i="68" s="1"/>
  <c r="AF13" i="72" l="1"/>
  <c r="AF14" i="72" s="1"/>
  <c r="AG12" i="72"/>
  <c r="AF15" i="72"/>
  <c r="AF16" i="72" s="1"/>
  <c r="AG15" i="72" l="1"/>
  <c r="AG16" i="72" s="1"/>
  <c r="AG13" i="72"/>
  <c r="AG14" i="72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<sst xmlns="http://schemas.openxmlformats.org/spreadsheetml/2006/main" count="1238" uniqueCount="343">
  <si>
    <t>Mês:</t>
  </si>
  <si>
    <t>→Menu←</t>
  </si>
  <si>
    <t>Trim:</t>
  </si>
  <si>
    <t>Concessões</t>
  </si>
  <si>
    <t>Empresa</t>
  </si>
  <si>
    <t>Contrato</t>
  </si>
  <si>
    <t>Projeto</t>
  </si>
  <si>
    <t>Prazo
(anos)</t>
  </si>
  <si>
    <t>Vencimento</t>
  </si>
  <si>
    <t>Estado de Operação</t>
  </si>
  <si>
    <t>Próxima RTP</t>
  </si>
  <si>
    <t>Índice de Correção</t>
  </si>
  <si>
    <t>Consolidação</t>
  </si>
  <si>
    <t>Linhas de Transmissão (km)</t>
  </si>
  <si>
    <t>Capacidade de Transformação (MVA)</t>
  </si>
  <si>
    <t>Subestações (Qtd)</t>
  </si>
  <si>
    <t>059/2001</t>
  </si>
  <si>
    <t>Operacional</t>
  </si>
  <si>
    <t>IPCA</t>
  </si>
  <si>
    <t>Integral</t>
  </si>
  <si>
    <t>008/2022</t>
  </si>
  <si>
    <t>Piraquê</t>
  </si>
  <si>
    <t>Em construção</t>
  </si>
  <si>
    <t>012/2016</t>
  </si>
  <si>
    <t>PBTE</t>
  </si>
  <si>
    <t>N.A</t>
  </si>
  <si>
    <t>IE Madeira</t>
  </si>
  <si>
    <t>013/2009</t>
  </si>
  <si>
    <t>Lote D</t>
  </si>
  <si>
    <t>Equivalência Patrimonial</t>
  </si>
  <si>
    <t>015/2009</t>
  </si>
  <si>
    <t>Lote F</t>
  </si>
  <si>
    <t>IE Ivaí</t>
  </si>
  <si>
    <t>022/2017</t>
  </si>
  <si>
    <t>Ivaí</t>
  </si>
  <si>
    <t>IE Aguapeí</t>
  </si>
  <si>
    <t>046/2017</t>
  </si>
  <si>
    <t>Aguapeí</t>
  </si>
  <si>
    <t>IE Riacho Grande</t>
  </si>
  <si>
    <t>005/2021</t>
  </si>
  <si>
    <t>Riacho Grande</t>
  </si>
  <si>
    <t>IE Paraguaçu</t>
  </si>
  <si>
    <t>003/2017</t>
  </si>
  <si>
    <t>Paraguaçu</t>
  </si>
  <si>
    <t>Evrecy</t>
  </si>
  <si>
    <t>001/2020</t>
  </si>
  <si>
    <t>Minuano</t>
  </si>
  <si>
    <t>n.a.</t>
  </si>
  <si>
    <t>IGPM</t>
  </si>
  <si>
    <t>IEMG</t>
  </si>
  <si>
    <t>007/2020</t>
  </si>
  <si>
    <t>Triângulo Mineiro</t>
  </si>
  <si>
    <t>004/2007</t>
  </si>
  <si>
    <t>IE Itaúnas</t>
  </si>
  <si>
    <t>018/2017</t>
  </si>
  <si>
    <t>Itaúnas</t>
  </si>
  <si>
    <t>IE Garanhuns</t>
  </si>
  <si>
    <t>022/2011</t>
  </si>
  <si>
    <t>Garanhuns</t>
  </si>
  <si>
    <t>IE Itaquerê</t>
  </si>
  <si>
    <t>027/2017</t>
  </si>
  <si>
    <t>Itaquerê</t>
  </si>
  <si>
    <t>IENNE</t>
  </si>
  <si>
    <t>001/2008</t>
  </si>
  <si>
    <t>IE Serra do Japi</t>
  </si>
  <si>
    <t>026/2009</t>
  </si>
  <si>
    <t>Serra do Japi</t>
  </si>
  <si>
    <t>IE Jaguar 9</t>
  </si>
  <si>
    <t>015/2008</t>
  </si>
  <si>
    <t>IE Biguaçu</t>
  </si>
  <si>
    <t>012/2018</t>
  </si>
  <si>
    <t>Biguaçu</t>
  </si>
  <si>
    <t>IE Aimorés</t>
  </si>
  <si>
    <t>004/2017</t>
  </si>
  <si>
    <t>Aimorés</t>
  </si>
  <si>
    <t>IE Jaguar 6</t>
  </si>
  <si>
    <t>143/2001</t>
  </si>
  <si>
    <t>Botucatu-Xavantes</t>
  </si>
  <si>
    <t>042/2017</t>
  </si>
  <si>
    <t>Bauru</t>
  </si>
  <si>
    <t>IE Jaguar 8</t>
  </si>
  <si>
    <t>011/2022</t>
  </si>
  <si>
    <t>Jacarandá</t>
  </si>
  <si>
    <t>012/2008</t>
  </si>
  <si>
    <t>Piratininga</t>
  </si>
  <si>
    <t>IE Tibagi</t>
  </si>
  <si>
    <t>026/2017</t>
  </si>
  <si>
    <t>Tibagi</t>
  </si>
  <si>
    <t>006/2020</t>
  </si>
  <si>
    <t>Três lagoas</t>
  </si>
  <si>
    <t>IESUL</t>
  </si>
  <si>
    <t>016/2008</t>
  </si>
  <si>
    <t>Forquilinha</t>
  </si>
  <si>
    <t>013/2008</t>
  </si>
  <si>
    <t>Scharlau</t>
  </si>
  <si>
    <t>IE Itapura</t>
  </si>
  <si>
    <t>021/2018</t>
  </si>
  <si>
    <t>Lorena</t>
  </si>
  <si>
    <t>021/2011</t>
  </si>
  <si>
    <t>Itapeti</t>
  </si>
  <si>
    <t>IE Pinheiros</t>
  </si>
  <si>
    <t>018/2008</t>
  </si>
  <si>
    <t>Atibaia II</t>
  </si>
  <si>
    <t>Total</t>
  </si>
  <si>
    <t>Getulina, Mirassol e Aráras</t>
  </si>
  <si>
    <t>UF</t>
  </si>
  <si>
    <t>Lucro Real</t>
  </si>
  <si>
    <t>RO / SP / MT / MS / GO</t>
  </si>
  <si>
    <t>PR</t>
  </si>
  <si>
    <t>SP</t>
  </si>
  <si>
    <t>Lucro Presumido</t>
  </si>
  <si>
    <t>BA / MG</t>
  </si>
  <si>
    <t>ES</t>
  </si>
  <si>
    <t>RS</t>
  </si>
  <si>
    <t>MG</t>
  </si>
  <si>
    <t>PI / TO / MA</t>
  </si>
  <si>
    <t>SC</t>
  </si>
  <si>
    <t>MS / SP</t>
  </si>
  <si>
    <t>Regime Fiscal</t>
  </si>
  <si>
    <t>RJ/MG</t>
  </si>
  <si>
    <t>MG / ES</t>
  </si>
  <si>
    <t>Itatiaia</t>
  </si>
  <si>
    <t xml:space="preserve">Água Vermelha </t>
  </si>
  <si>
    <t>006/2023</t>
  </si>
  <si>
    <t>Serra Dourada</t>
  </si>
  <si>
    <t>BA/MG</t>
  </si>
  <si>
    <t>012/2023</t>
  </si>
  <si>
    <t>50% / TAESA 50%</t>
  </si>
  <si>
    <t>51% / Chesf 49%</t>
  </si>
  <si>
    <t>014/2023</t>
  </si>
  <si>
    <t>Gross-up Pis/Cofins</t>
  </si>
  <si>
    <t>Área Incentivada (%)</t>
  </si>
  <si>
    <t>Início Benefício Fiscal</t>
  </si>
  <si>
    <t>Fim Benefício Fiscal</t>
  </si>
  <si>
    <t>n.a</t>
  </si>
  <si>
    <t>n.d</t>
  </si>
  <si>
    <t>PE / AL / PB</t>
  </si>
  <si>
    <t>Concessão Paulista</t>
  </si>
  <si>
    <t>Participação ISA ENERGIA BRASIL
(%)</t>
  </si>
  <si>
    <t>ISA ENERGIA BRASIL</t>
  </si>
  <si>
    <t>ISA ENERGIA BRASIL 51% / Furnas 24,5% / Chesf 24,5%</t>
  </si>
  <si>
    <t>Concessions</t>
  </si>
  <si>
    <t>Company</t>
  </si>
  <si>
    <t>Contract</t>
  </si>
  <si>
    <t>Project</t>
  </si>
  <si>
    <t>State</t>
  </si>
  <si>
    <t>Deadline 
(years)</t>
  </si>
  <si>
    <t>Expiration</t>
  </si>
  <si>
    <t>Operational Status</t>
  </si>
  <si>
    <t>Next Tariff Review</t>
  </si>
  <si>
    <t>RAP 
Cycle 2024/2025
(BRLmillion)</t>
  </si>
  <si>
    <t>RAP  ISA ENERGIA BRASIL Cycle 2024/2025 (BRLmillion)</t>
  </si>
  <si>
    <t>Adjustment Index</t>
  </si>
  <si>
    <t>ISA ENERGIA BRASIL's Share
(%)</t>
  </si>
  <si>
    <t>Consolidation</t>
  </si>
  <si>
    <t xml:space="preserve">Pis/Cofins Gross-up </t>
  </si>
  <si>
    <t>Tax benefit Incentive Area (%)</t>
  </si>
  <si>
    <t>Tax Benefit start date</t>
  </si>
  <si>
    <t>End date Tax Benefit</t>
  </si>
  <si>
    <t>Transmission lines (km)</t>
  </si>
  <si>
    <t>Transformation Capacity (MVA)</t>
  </si>
  <si>
    <t>Substations</t>
  </si>
  <si>
    <t>Operational</t>
  </si>
  <si>
    <t>Under Construction</t>
  </si>
  <si>
    <t>RAP  ISA ENERGIA BRASIL Ciclo 2025/2026
 (R$ milhões)</t>
  </si>
  <si>
    <t>RAP 
Ciclo 2025/2026
(R$ milhões)</t>
  </si>
  <si>
    <t xml:space="preserve">Controladas em conjunto </t>
  </si>
  <si>
    <t>RAP ISA ENERGIA BRASIL Ciclo 2025/2026
 (R$ milhões)</t>
  </si>
  <si>
    <t>Participação
(%)</t>
  </si>
  <si>
    <t>Capacidade Instalada</t>
  </si>
  <si>
    <t>Empresa / Projeto</t>
  </si>
  <si>
    <t>Circuito
 (km)</t>
  </si>
  <si>
    <t>Subestações</t>
  </si>
  <si>
    <t>Capacidade 
(MVA)</t>
  </si>
  <si>
    <t>Operacionais</t>
  </si>
  <si>
    <t>Ativos</t>
  </si>
  <si>
    <t>Próprios</t>
  </si>
  <si>
    <t>Em Construção</t>
  </si>
  <si>
    <t>Em Conjunto</t>
  </si>
  <si>
    <t>4T24</t>
  </si>
  <si>
    <t>Água Vermelha</t>
  </si>
  <si>
    <t>Installed Capacity</t>
  </si>
  <si>
    <t>Company / Project</t>
  </si>
  <si>
    <t>Transmission  Lines (km)</t>
  </si>
  <si>
    <t>Transformation Capacity
(MVA)</t>
  </si>
  <si>
    <t>Power 
(MVA)</t>
  </si>
  <si>
    <t>Operational¹</t>
  </si>
  <si>
    <t>Controlled</t>
  </si>
  <si>
    <t>Coligated</t>
  </si>
  <si>
    <t>Crescimento</t>
  </si>
  <si>
    <t>Leilões</t>
  </si>
  <si>
    <t>Projetos</t>
  </si>
  <si>
    <t>% ISA ENERGIA BRASIL</t>
  </si>
  <si>
    <t>Deságio</t>
  </si>
  <si>
    <t>RAP ISA ENERGIA BRASIL
Ciclo 2025/2026
(R$ milhões)</t>
  </si>
  <si>
    <t>Assinatura do Contrato</t>
  </si>
  <si>
    <t>Data de Necessidade¹</t>
  </si>
  <si>
    <t>Prazo
ANEEL</t>
  </si>
  <si>
    <t>Investimento ANEEL
(R$ milhões)</t>
  </si>
  <si>
    <t xml:space="preserve">CapEx ANEEL Participação ISA ENERGIA BRASIL
data base leilão
(R$ milhões) </t>
  </si>
  <si>
    <t>Licenci. Ambiental (LI)</t>
  </si>
  <si>
    <t>Início da Construção</t>
  </si>
  <si>
    <t xml:space="preserve"> 013/2015
(out/2016)</t>
  </si>
  <si>
    <t xml:space="preserve">Paraguaçú
(Lote 3) </t>
  </si>
  <si>
    <t>ü</t>
  </si>
  <si>
    <t>2T19</t>
  </si>
  <si>
    <t>3T22</t>
  </si>
  <si>
    <t>Aimorés 
(Lote 4)</t>
  </si>
  <si>
    <t>2T22</t>
  </si>
  <si>
    <t>Itaúnas 
(Lote 21)</t>
  </si>
  <si>
    <t>3T18</t>
  </si>
  <si>
    <t>4T23</t>
  </si>
  <si>
    <t xml:space="preserve"> 005/2016
(abr/2017)</t>
  </si>
  <si>
    <t>Ivaí
(Lote 1)</t>
  </si>
  <si>
    <t>4T19</t>
  </si>
  <si>
    <t>4T22</t>
  </si>
  <si>
    <t>Tibagi
(Lote 5)</t>
  </si>
  <si>
    <t>SP / PR</t>
  </si>
  <si>
    <t>4T20</t>
  </si>
  <si>
    <t>Itaquerê
(Lote 6)</t>
  </si>
  <si>
    <t>3T20</t>
  </si>
  <si>
    <t>Aguapeí
(Lote 29)</t>
  </si>
  <si>
    <t>3T19</t>
  </si>
  <si>
    <t>1T21</t>
  </si>
  <si>
    <t>Itapura-Bauru</t>
  </si>
  <si>
    <t>Bauru 
(Lote 25)</t>
  </si>
  <si>
    <t>2T18</t>
  </si>
  <si>
    <t>Itapura-Lorena</t>
  </si>
  <si>
    <t xml:space="preserve"> 002/2018
(jun/2018)</t>
  </si>
  <si>
    <t>Lorena
(Lote 10)</t>
  </si>
  <si>
    <t>4T21</t>
  </si>
  <si>
    <t>Biguaçu
(Lote 1)</t>
  </si>
  <si>
    <t xml:space="preserve"> 002/2019
(dez/2019)
</t>
  </si>
  <si>
    <t>Minuano 
(Lote 1)</t>
  </si>
  <si>
    <t>Três Lagoas
(Lote 6)</t>
  </si>
  <si>
    <t>2T21</t>
  </si>
  <si>
    <t>Triângulo Mineiro
(Lote 7)</t>
  </si>
  <si>
    <t>1T22</t>
  </si>
  <si>
    <t>3T23</t>
  </si>
  <si>
    <t xml:space="preserve"> 001/2020
(dez/2020)</t>
  </si>
  <si>
    <t>Riacho Grande
(Lote 7)</t>
  </si>
  <si>
    <t>-</t>
  </si>
  <si>
    <t xml:space="preserve"> 001/2022
(jun/2022)</t>
  </si>
  <si>
    <t>Piraquê
(Lote 3)</t>
  </si>
  <si>
    <t>3T24</t>
  </si>
  <si>
    <t>Jacarandá
(Lote 6)</t>
  </si>
  <si>
    <t xml:space="preserve"> 001/2023
(jun/2023)</t>
  </si>
  <si>
    <t>Serra Dourada
(Lote 1)</t>
  </si>
  <si>
    <t>Imediata</t>
  </si>
  <si>
    <t>4T25</t>
  </si>
  <si>
    <t>Itatiaia
 (Lote 7)</t>
  </si>
  <si>
    <t>3T25</t>
  </si>
  <si>
    <t>Água Vermelha
 (Lote 9)</t>
  </si>
  <si>
    <t>2T25</t>
  </si>
  <si>
    <t>¹ Conforme contrato de concessão</t>
  </si>
  <si>
    <t>desde 2019</t>
  </si>
  <si>
    <t xml:space="preserve">²Avanço Fundiário: evolução das propriedades liberadas </t>
  </si>
  <si>
    <r>
      <rPr>
        <vertAlign val="superscript"/>
        <sz val="12"/>
        <color theme="1"/>
        <rFont val="Arial"/>
        <family val="2"/>
      </rPr>
      <t xml:space="preserve">³ </t>
    </r>
    <r>
      <rPr>
        <sz val="12"/>
        <color theme="1"/>
        <rFont val="Arial"/>
        <family val="2"/>
      </rPr>
      <t>Avanço Fundiário: evolução das propriedades liberadas</t>
    </r>
  </si>
  <si>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Avanço do Projeto: evolução de todas as atividades relativas ao empreendimento até sua energização</t>
    </r>
  </si>
  <si>
    <t>Growth</t>
  </si>
  <si>
    <t>Auctions</t>
  </si>
  <si>
    <t>Discount</t>
  </si>
  <si>
    <t>RAP ISA ENERGIA BRASIL
Cycle 2025/2026
(R$ million)</t>
  </si>
  <si>
    <t>Contract signature</t>
  </si>
  <si>
    <t>Deadline ANEEL</t>
  </si>
  <si>
    <t>Necessity Date¹</t>
  </si>
  <si>
    <t>ANEEL CAPEX
(R$ million)</t>
  </si>
  <si>
    <t>ANEEL CAPEX
ISA ENERGIA BRASIL Participation
(R$ million)</t>
  </si>
  <si>
    <t>Environmental License (LI)</t>
  </si>
  <si>
    <t>Initiation of Construction</t>
  </si>
  <si>
    <r>
      <t>Land 
Development</t>
    </r>
    <r>
      <rPr>
        <b/>
        <vertAlign val="superscript"/>
        <sz val="8"/>
        <color theme="0"/>
        <rFont val="Tahoma"/>
        <family val="2"/>
      </rPr>
      <t>4</t>
    </r>
  </si>
  <si>
    <r>
      <t>Projects 
Development</t>
    </r>
    <r>
      <rPr>
        <b/>
        <vertAlign val="superscript"/>
        <sz val="8"/>
        <color theme="0"/>
        <rFont val="Tahoma"/>
        <family val="2"/>
      </rPr>
      <t>5</t>
    </r>
  </si>
  <si>
    <t>Entry in Commercial Operation</t>
  </si>
  <si>
    <t xml:space="preserve">ANEEL </t>
  </si>
  <si>
    <t xml:space="preserve"> 013/2015
(oct/2016)</t>
  </si>
  <si>
    <t xml:space="preserve">Paraguaçú
(Lot 3) </t>
  </si>
  <si>
    <t>2Q19</t>
  </si>
  <si>
    <t>3Q22</t>
  </si>
  <si>
    <t>Aimorés 
(Lot 4)</t>
  </si>
  <si>
    <t>2Q22</t>
  </si>
  <si>
    <t>Itaúnas 
(Lot 21)</t>
  </si>
  <si>
    <t>3Q18</t>
  </si>
  <si>
    <t>4Q23</t>
  </si>
  <si>
    <t xml:space="preserve"> 005/2016
(apr/2017)</t>
  </si>
  <si>
    <t>Ivaí²
(Lot 1)</t>
  </si>
  <si>
    <t>4Q19</t>
  </si>
  <si>
    <t>4Q22</t>
  </si>
  <si>
    <t>Tibagi
(Lot 5)</t>
  </si>
  <si>
    <t>4Q20</t>
  </si>
  <si>
    <t>Itaquerê
(Lot 6)</t>
  </si>
  <si>
    <t>3Q20</t>
  </si>
  <si>
    <t>Aguapeí
(Lot 29)</t>
  </si>
  <si>
    <t>3Q19</t>
  </si>
  <si>
    <t>1Q21</t>
  </si>
  <si>
    <t>Bauru 
(Lot 25)</t>
  </si>
  <si>
    <t>2Q18</t>
  </si>
  <si>
    <t>Lorena
(Lot 10)</t>
  </si>
  <si>
    <t>4Q21</t>
  </si>
  <si>
    <t>Biguaçu
(Lot 1)</t>
  </si>
  <si>
    <t xml:space="preserve"> 002/2019
(dec/2019)
</t>
  </si>
  <si>
    <t>Minuano 
(Lot 1) 6</t>
  </si>
  <si>
    <t>1Q22</t>
  </si>
  <si>
    <t>Três Lagoas
(Lot 6)</t>
  </si>
  <si>
    <t>2Q21</t>
  </si>
  <si>
    <t>Triângulo Mineiro
(Lot 7)</t>
  </si>
  <si>
    <t>3Q23</t>
  </si>
  <si>
    <t xml:space="preserve"> 001/2020
(dec/2020)</t>
  </si>
  <si>
    <t>Riacho Grande
(Lot 7)</t>
  </si>
  <si>
    <t>Piraquê
(Lot 3)</t>
  </si>
  <si>
    <t>Jacarandá
(Lot 6)</t>
  </si>
  <si>
    <t>Serra Dourada
(Lot 1)</t>
  </si>
  <si>
    <t>immediate</t>
  </si>
  <si>
    <t>Itatiaia
 (Lot 7)</t>
  </si>
  <si>
    <t>Água Vermelha
 (Lot 9)</t>
  </si>
  <si>
    <t>¹ According to concession agreement</t>
  </si>
  <si>
    <t>² To receive the total amount of RAP</t>
  </si>
  <si>
    <r>
      <rPr>
        <vertAlign val="superscript"/>
        <sz val="10"/>
        <color theme="1"/>
        <rFont val="Tahoma"/>
        <family val="2"/>
      </rPr>
      <t>3</t>
    </r>
    <r>
      <rPr>
        <vertAlign val="superscript"/>
        <sz val="8.5"/>
        <color theme="1"/>
        <rFont val="Tahoma"/>
        <family val="2"/>
      </rPr>
      <t xml:space="preserve"> </t>
    </r>
    <r>
      <rPr>
        <sz val="10"/>
        <color theme="1"/>
        <rFont val="Tahoma"/>
        <family val="2"/>
      </rPr>
      <t>Land Development: evolution of properties released</t>
    </r>
  </si>
  <si>
    <r>
      <rPr>
        <vertAlign val="superscript"/>
        <sz val="8.5"/>
        <color theme="1"/>
        <rFont val="Tahoma"/>
        <family val="2"/>
      </rPr>
      <t>4</t>
    </r>
    <r>
      <rPr>
        <sz val="10"/>
        <color theme="1"/>
        <rFont val="Tahoma"/>
        <family val="2"/>
      </rPr>
      <t xml:space="preserve"> Project Development: evolution of all activities related to the project until electricity is provided to it </t>
    </r>
  </si>
  <si>
    <t>Evrecy/Minuano</t>
  </si>
  <si>
    <t xml:space="preserve"> </t>
  </si>
  <si>
    <t>Energizados entre 2019 e 2025</t>
  </si>
  <si>
    <t>não</t>
  </si>
  <si>
    <t>sim</t>
  </si>
  <si>
    <t>IE SUL</t>
  </si>
  <si>
    <r>
      <t>December 31</t>
    </r>
    <r>
      <rPr>
        <b/>
        <sz val="11"/>
        <color theme="0"/>
        <rFont val="Calibri"/>
        <family val="2"/>
        <scheme val="minor"/>
      </rPr>
      <t>, 2025</t>
    </r>
  </si>
  <si>
    <t>Ano Leilão</t>
  </si>
  <si>
    <t>Empreendimentos Arrematados</t>
  </si>
  <si>
    <t>Empreendimentos Arrematados (acumulado)</t>
  </si>
  <si>
    <t>RAP Adicionada</t>
  </si>
  <si>
    <t>RAP Adicionada (acumulado)</t>
  </si>
  <si>
    <t>Ano Energização</t>
  </si>
  <si>
    <t>1T26</t>
  </si>
  <si>
    <t>3T26</t>
  </si>
  <si>
    <t>RO / SP / MT / MG / GO</t>
  </si>
  <si>
    <t>RAP</t>
  </si>
  <si>
    <t>RAP Acumulado</t>
  </si>
  <si>
    <t>CapEx ISA ENERGIA BRASIL total até 31/03/2026
(R$ milhões)</t>
  </si>
  <si>
    <t>Avanço Fundiário</t>
  </si>
  <si>
    <t>Avanço Físico</t>
  </si>
  <si>
    <t>Entrada em Operação Comercial</t>
  </si>
  <si>
    <t>CapEx ANEEL 
(valor real mar/26)</t>
  </si>
  <si>
    <t>Total CapEx ISA ENERGIA BRASIL until 12/31/2025
(R$ million)</t>
  </si>
  <si>
    <t>Ano leilão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</si>
</sst>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#,##0.0"/>
    <numFmt numFmtId="169" formatCode="[$-409]d\-mmm\-yy;@"/>
    <numFmt numFmtId="170" formatCode="dd\ mmmm\ yyyy"/>
    <numFmt numFmtId="171" formatCode="#,##0.000"/>
    <numFmt numFmtId="172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rgb="FF040C28"/>
      <name val="Arial"/>
      <family val="2"/>
    </font>
    <font>
      <b/>
      <sz val="11"/>
      <color theme="0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0" tint="-0.499984740745262"/>
      <name val="Arial"/>
      <family val="2"/>
    </font>
    <font>
      <i/>
      <u/>
      <sz val="12"/>
      <color theme="1"/>
      <name val="Arial"/>
      <family val="2"/>
    </font>
    <font>
      <sz val="14"/>
      <color theme="0" tint="-0.499984740745262"/>
      <name val="Arial"/>
      <family val="2"/>
    </font>
    <font>
      <b/>
      <i/>
      <sz val="14"/>
      <color theme="0"/>
      <name val="Arial"/>
      <family val="2"/>
    </font>
    <font>
      <sz val="14"/>
      <color theme="0" tint="-0.499984740745262"/>
      <name val="Wingdings"/>
      <charset val="2"/>
    </font>
    <font>
      <b/>
      <sz val="12"/>
      <color rgb="FF33599F"/>
      <name val="Arial"/>
      <family val="2"/>
    </font>
    <font>
      <vertAlign val="superscript"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vertAlign val="superscript"/>
      <sz val="8"/>
      <color theme="0"/>
      <name val="Tahoma"/>
      <family val="2"/>
    </font>
    <font>
      <sz val="12"/>
      <color theme="0" tint="-0.499984740745262"/>
      <name val="Wingdings"/>
      <charset val="2"/>
    </font>
    <font>
      <vertAlign val="superscript"/>
      <sz val="10"/>
      <color theme="1"/>
      <name val="Tahoma"/>
      <family val="2"/>
    </font>
    <font>
      <vertAlign val="superscript"/>
      <sz val="8.5"/>
      <color theme="1"/>
      <name val="Tahoma"/>
      <family val="2"/>
    </font>
    <font>
      <sz val="10"/>
      <color theme="1"/>
      <name val="Tahoma"/>
      <family val="2"/>
    </font>
    <font>
      <sz val="11"/>
      <color theme="0" tint="-0.499984740745262"/>
      <name val="Arial"/>
      <family val="2"/>
    </font>
    <font>
      <b/>
      <sz val="14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/>
      <diagonal/>
    </border>
    <border>
      <left style="thin">
        <color theme="2"/>
      </left>
      <right style="thin">
        <color theme="2"/>
      </right>
      <top/>
      <bottom style="medium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 style="medium">
        <color theme="0"/>
      </top>
      <bottom/>
      <diagonal/>
    </border>
    <border>
      <left style="thin">
        <color theme="2"/>
      </left>
      <right/>
      <top style="medium">
        <color theme="0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medium">
        <color theme="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5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164" fontId="6" fillId="4" borderId="4" xfId="2" applyNumberFormat="1" applyFont="1" applyFill="1" applyBorder="1" applyAlignment="1">
      <alignment horizontal="center"/>
    </xf>
    <xf numFmtId="164" fontId="6" fillId="4" borderId="5" xfId="2" applyNumberFormat="1" applyFont="1" applyFill="1" applyBorder="1" applyAlignment="1">
      <alignment horizontal="center"/>
    </xf>
    <xf numFmtId="0" fontId="7" fillId="0" borderId="0" xfId="0" applyFont="1"/>
    <xf numFmtId="0" fontId="6" fillId="4" borderId="0" xfId="2" applyFont="1" applyFill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4" borderId="7" xfId="2" applyFont="1" applyFill="1" applyBorder="1" applyAlignment="1">
      <alignment horizontal="center"/>
    </xf>
    <xf numFmtId="1" fontId="6" fillId="5" borderId="0" xfId="1" applyNumberFormat="1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6" fillId="6" borderId="11" xfId="3" applyNumberFormat="1" applyFont="1" applyFill="1" applyBorder="1" applyAlignment="1">
      <alignment vertical="center" wrapText="1"/>
    </xf>
    <xf numFmtId="1" fontId="6" fillId="6" borderId="1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3" fontId="11" fillId="0" borderId="12" xfId="0" applyNumberFormat="1" applyFont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14" fontId="12" fillId="0" borderId="2" xfId="0" applyNumberFormat="1" applyFont="1" applyBorder="1" applyAlignment="1">
      <alignment horizontal="center" vertical="center" wrapText="1" readingOrder="1"/>
    </xf>
    <xf numFmtId="3" fontId="11" fillId="0" borderId="2" xfId="0" applyNumberFormat="1" applyFont="1" applyBorder="1" applyAlignment="1">
      <alignment horizontal="center" vertical="center" wrapText="1" readingOrder="1"/>
    </xf>
    <xf numFmtId="3" fontId="12" fillId="0" borderId="2" xfId="0" applyNumberFormat="1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3" fontId="11" fillId="0" borderId="13" xfId="0" applyNumberFormat="1" applyFont="1" applyBorder="1" applyAlignment="1">
      <alignment horizontal="center" vertical="center" wrapText="1" readingOrder="1"/>
    </xf>
    <xf numFmtId="3" fontId="12" fillId="0" borderId="13" xfId="0" applyNumberFormat="1" applyFont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 readingOrder="1"/>
    </xf>
    <xf numFmtId="17" fontId="12" fillId="3" borderId="14" xfId="0" quotePrefix="1" applyNumberFormat="1" applyFont="1" applyFill="1" applyBorder="1" applyAlignment="1">
      <alignment horizontal="center" vertical="center" wrapText="1" readingOrder="1"/>
    </xf>
    <xf numFmtId="14" fontId="12" fillId="3" borderId="14" xfId="0" applyNumberFormat="1" applyFont="1" applyFill="1" applyBorder="1" applyAlignment="1">
      <alignment horizontal="center" vertical="center" wrapText="1" readingOrder="1"/>
    </xf>
    <xf numFmtId="3" fontId="11" fillId="3" borderId="14" xfId="0" applyNumberFormat="1" applyFont="1" applyFill="1" applyBorder="1" applyAlignment="1">
      <alignment horizontal="center" vertical="center" wrapText="1" readingOrder="1"/>
    </xf>
    <xf numFmtId="3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14" fontId="12" fillId="3" borderId="13" xfId="0" applyNumberFormat="1" applyFont="1" applyFill="1" applyBorder="1" applyAlignment="1">
      <alignment horizontal="center" vertical="center" wrapText="1" readingOrder="1"/>
    </xf>
    <xf numFmtId="3" fontId="11" fillId="3" borderId="13" xfId="0" applyNumberFormat="1" applyFont="1" applyFill="1" applyBorder="1" applyAlignment="1">
      <alignment horizontal="center" vertical="center" wrapText="1" readingOrder="1"/>
    </xf>
    <xf numFmtId="3" fontId="12" fillId="3" borderId="13" xfId="0" applyNumberFormat="1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14" fontId="12" fillId="0" borderId="15" xfId="0" applyNumberFormat="1" applyFont="1" applyBorder="1" applyAlignment="1">
      <alignment horizontal="center" vertical="center" wrapText="1" readingOrder="1"/>
    </xf>
    <xf numFmtId="3" fontId="11" fillId="0" borderId="15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14" fontId="12" fillId="3" borderId="15" xfId="0" applyNumberFormat="1" applyFont="1" applyFill="1" applyBorder="1" applyAlignment="1">
      <alignment horizontal="center" vertical="center" wrapText="1" readingOrder="1"/>
    </xf>
    <xf numFmtId="3" fontId="11" fillId="3" borderId="15" xfId="0" applyNumberFormat="1" applyFont="1" applyFill="1" applyBorder="1" applyAlignment="1">
      <alignment horizontal="center" vertical="center" wrapText="1" readingOrder="1"/>
    </xf>
    <xf numFmtId="9" fontId="12" fillId="3" borderId="15" xfId="0" applyNumberFormat="1" applyFont="1" applyFill="1" applyBorder="1" applyAlignment="1">
      <alignment horizontal="center" vertical="center" wrapText="1" readingOrder="1"/>
    </xf>
    <xf numFmtId="3" fontId="12" fillId="3" borderId="15" xfId="0" applyNumberFormat="1" applyFont="1" applyFill="1" applyBorder="1" applyAlignment="1">
      <alignment horizontal="center" vertical="center" wrapText="1" readingOrder="1"/>
    </xf>
    <xf numFmtId="9" fontId="12" fillId="0" borderId="15" xfId="0" applyNumberFormat="1" applyFont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14" fontId="12" fillId="3" borderId="2" xfId="0" applyNumberFormat="1" applyFont="1" applyFill="1" applyBorder="1" applyAlignment="1">
      <alignment horizontal="center" vertical="center" wrapText="1" readingOrder="1"/>
    </xf>
    <xf numFmtId="3" fontId="11" fillId="3" borderId="2" xfId="0" applyNumberFormat="1" applyFont="1" applyFill="1" applyBorder="1" applyAlignment="1">
      <alignment horizontal="center" vertical="center" wrapText="1" readingOrder="1"/>
    </xf>
    <xf numFmtId="3" fontId="12" fillId="3" borderId="2" xfId="0" applyNumberFormat="1" applyFont="1" applyFill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14" fontId="12" fillId="0" borderId="14" xfId="0" applyNumberFormat="1" applyFont="1" applyBorder="1" applyAlignment="1">
      <alignment horizontal="center" vertical="center" wrapText="1" readingOrder="1"/>
    </xf>
    <xf numFmtId="3" fontId="11" fillId="0" borderId="14" xfId="0" applyNumberFormat="1" applyFont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center" wrapText="1" readingOrder="1"/>
    </xf>
    <xf numFmtId="9" fontId="12" fillId="0" borderId="2" xfId="0" applyNumberFormat="1" applyFont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top" wrapText="1" readingOrder="1"/>
    </xf>
    <xf numFmtId="0" fontId="11" fillId="3" borderId="15" xfId="0" applyFont="1" applyFill="1" applyBorder="1" applyAlignment="1">
      <alignment horizontal="left" vertical="center" wrapText="1" readingOrder="1"/>
    </xf>
    <xf numFmtId="0" fontId="5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4" fillId="4" borderId="0" xfId="0" applyFont="1" applyFill="1" applyAlignment="1">
      <alignment horizontal="center" vertical="center" wrapText="1"/>
    </xf>
    <xf numFmtId="3" fontId="13" fillId="4" borderId="0" xfId="0" applyNumberFormat="1" applyFont="1" applyFill="1" applyAlignment="1">
      <alignment horizontal="center" vertical="center" wrapText="1" readingOrder="1"/>
    </xf>
    <xf numFmtId="43" fontId="3" fillId="2" borderId="0" xfId="1" applyFont="1" applyFill="1" applyAlignment="1">
      <alignment horizontal="center" vertical="center" readingOrder="1"/>
    </xf>
    <xf numFmtId="43" fontId="15" fillId="2" borderId="0" xfId="1" applyFont="1" applyFill="1" applyAlignment="1">
      <alignment vertical="center" readingOrder="1"/>
    </xf>
    <xf numFmtId="0" fontId="3" fillId="2" borderId="0" xfId="0" applyFont="1" applyFill="1" applyAlignment="1">
      <alignment horizontal="center" vertical="center" readingOrder="1"/>
    </xf>
    <xf numFmtId="0" fontId="3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center" vertical="center"/>
    </xf>
    <xf numFmtId="0" fontId="16" fillId="0" borderId="0" xfId="0" applyFont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165" fontId="11" fillId="3" borderId="0" xfId="1" applyNumberFormat="1" applyFont="1" applyFill="1" applyAlignment="1">
      <alignment horizontal="center" vertical="center"/>
    </xf>
    <xf numFmtId="166" fontId="17" fillId="2" borderId="0" xfId="0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167" fontId="18" fillId="0" borderId="0" xfId="4" applyNumberFormat="1" applyFont="1"/>
    <xf numFmtId="168" fontId="3" fillId="2" borderId="0" xfId="0" applyNumberFormat="1" applyFont="1" applyFill="1" applyAlignment="1">
      <alignment horizontal="center" vertical="center"/>
    </xf>
    <xf numFmtId="168" fontId="12" fillId="3" borderId="0" xfId="1" applyNumberFormat="1" applyFont="1" applyFill="1" applyAlignment="1">
      <alignment horizontal="center" vertical="center"/>
    </xf>
    <xf numFmtId="168" fontId="11" fillId="3" borderId="0" xfId="1" applyNumberFormat="1" applyFont="1" applyFill="1" applyAlignment="1">
      <alignment horizontal="center" vertical="center"/>
    </xf>
    <xf numFmtId="10" fontId="12" fillId="0" borderId="16" xfId="4" applyNumberFormat="1" applyFont="1" applyBorder="1" applyAlignment="1">
      <alignment horizontal="center" vertical="center" wrapText="1" readingOrder="1"/>
    </xf>
    <xf numFmtId="10" fontId="12" fillId="0" borderId="12" xfId="4" applyNumberFormat="1" applyFont="1" applyBorder="1" applyAlignment="1">
      <alignment horizontal="center" vertical="center" wrapText="1" readingOrder="1"/>
    </xf>
    <xf numFmtId="10" fontId="12" fillId="0" borderId="17" xfId="4" applyNumberFormat="1" applyFont="1" applyBorder="1" applyAlignment="1">
      <alignment horizontal="center" vertical="center" wrapText="1" readingOrder="1"/>
    </xf>
    <xf numFmtId="10" fontId="12" fillId="0" borderId="18" xfId="4" applyNumberFormat="1" applyFont="1" applyBorder="1" applyAlignment="1">
      <alignment horizontal="center" vertical="center" wrapText="1" readingOrder="1"/>
    </xf>
    <xf numFmtId="10" fontId="12" fillId="0" borderId="2" xfId="4" applyNumberFormat="1" applyFont="1" applyBorder="1" applyAlignment="1">
      <alignment horizontal="center" vertical="center" wrapText="1" readingOrder="1"/>
    </xf>
    <xf numFmtId="10" fontId="12" fillId="0" borderId="19" xfId="4" applyNumberFormat="1" applyFont="1" applyBorder="1" applyAlignment="1">
      <alignment horizontal="center" vertical="center" wrapText="1" readingOrder="1"/>
    </xf>
    <xf numFmtId="10" fontId="12" fillId="0" borderId="15" xfId="4" applyNumberFormat="1" applyFont="1" applyBorder="1" applyAlignment="1">
      <alignment horizontal="center" vertical="center" wrapText="1" readingOrder="1"/>
    </xf>
    <xf numFmtId="10" fontId="12" fillId="3" borderId="15" xfId="4" applyNumberFormat="1" applyFont="1" applyFill="1" applyBorder="1" applyAlignment="1">
      <alignment horizontal="center" vertical="center" wrapText="1" readingOrder="1"/>
    </xf>
    <xf numFmtId="10" fontId="12" fillId="3" borderId="2" xfId="4" applyNumberFormat="1" applyFont="1" applyFill="1" applyBorder="1" applyAlignment="1">
      <alignment horizontal="center" vertical="center" wrapText="1" readingOrder="1"/>
    </xf>
    <xf numFmtId="164" fontId="12" fillId="3" borderId="15" xfId="4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167" fontId="9" fillId="0" borderId="1" xfId="4" applyNumberFormat="1" applyFont="1" applyBorder="1" applyAlignment="1">
      <alignment vertical="center"/>
    </xf>
    <xf numFmtId="17" fontId="14" fillId="4" borderId="0" xfId="0" applyNumberFormat="1" applyFont="1" applyFill="1" applyAlignment="1">
      <alignment horizontal="center" vertical="center" wrapText="1"/>
    </xf>
    <xf numFmtId="168" fontId="11" fillId="0" borderId="12" xfId="0" applyNumberFormat="1" applyFont="1" applyBorder="1" applyAlignment="1">
      <alignment horizontal="center" vertical="center" wrapText="1" readingOrder="1"/>
    </xf>
    <xf numFmtId="168" fontId="11" fillId="0" borderId="2" xfId="0" applyNumberFormat="1" applyFont="1" applyBorder="1" applyAlignment="1">
      <alignment horizontal="center" vertical="center" wrapText="1" readingOrder="1"/>
    </xf>
    <xf numFmtId="168" fontId="11" fillId="0" borderId="13" xfId="0" applyNumberFormat="1" applyFont="1" applyBorder="1" applyAlignment="1">
      <alignment horizontal="center" vertical="center" wrapText="1" readingOrder="1"/>
    </xf>
    <xf numFmtId="168" fontId="11" fillId="3" borderId="14" xfId="0" applyNumberFormat="1" applyFont="1" applyFill="1" applyBorder="1" applyAlignment="1">
      <alignment horizontal="center" vertical="center" wrapText="1" readingOrder="1"/>
    </xf>
    <xf numFmtId="168" fontId="11" fillId="3" borderId="13" xfId="0" applyNumberFormat="1" applyFont="1" applyFill="1" applyBorder="1" applyAlignment="1">
      <alignment horizontal="center" vertical="center" wrapText="1" readingOrder="1"/>
    </xf>
    <xf numFmtId="168" fontId="11" fillId="0" borderId="15" xfId="0" applyNumberFormat="1" applyFont="1" applyBorder="1" applyAlignment="1">
      <alignment horizontal="center" vertical="center" wrapText="1" readingOrder="1"/>
    </xf>
    <xf numFmtId="168" fontId="11" fillId="3" borderId="15" xfId="0" applyNumberFormat="1" applyFont="1" applyFill="1" applyBorder="1" applyAlignment="1">
      <alignment horizontal="center" vertical="center" wrapText="1" readingOrder="1"/>
    </xf>
    <xf numFmtId="168" fontId="11" fillId="3" borderId="2" xfId="0" applyNumberFormat="1" applyFont="1" applyFill="1" applyBorder="1" applyAlignment="1">
      <alignment horizontal="center" vertical="center" wrapText="1" readingOrder="1"/>
    </xf>
    <xf numFmtId="168" fontId="11" fillId="0" borderId="14" xfId="0" applyNumberFormat="1" applyFont="1" applyBorder="1" applyAlignment="1">
      <alignment horizontal="center" vertical="center" wrapText="1" readingOrder="1"/>
    </xf>
    <xf numFmtId="9" fontId="3" fillId="0" borderId="0" xfId="4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12" fillId="3" borderId="0" xfId="4" applyFont="1" applyFill="1" applyAlignment="1">
      <alignment horizontal="center" vertical="center"/>
    </xf>
    <xf numFmtId="9" fontId="12" fillId="3" borderId="14" xfId="0" applyNumberFormat="1" applyFont="1" applyFill="1" applyBorder="1" applyAlignment="1">
      <alignment horizontal="center" vertical="center" wrapText="1" readingOrder="1"/>
    </xf>
    <xf numFmtId="10" fontId="12" fillId="3" borderId="14" xfId="4" applyNumberFormat="1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left" vertical="center" wrapText="1" readingOrder="1"/>
    </xf>
    <xf numFmtId="43" fontId="3" fillId="2" borderId="0" xfId="1" applyFont="1" applyFill="1" applyAlignment="1">
      <alignment vertical="center" readingOrder="1"/>
    </xf>
    <xf numFmtId="9" fontId="9" fillId="0" borderId="1" xfId="4" applyFont="1" applyBorder="1" applyAlignment="1">
      <alignment vertical="center"/>
    </xf>
    <xf numFmtId="9" fontId="9" fillId="0" borderId="1" xfId="4" applyFont="1" applyBorder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 readingOrder="1"/>
    </xf>
    <xf numFmtId="166" fontId="6" fillId="5" borderId="0" xfId="1" applyNumberFormat="1" applyFont="1" applyFill="1" applyAlignment="1">
      <alignment horizontal="center" vertical="top" wrapText="1"/>
    </xf>
    <xf numFmtId="17" fontId="12" fillId="0" borderId="14" xfId="0" quotePrefix="1" applyNumberFormat="1" applyFont="1" applyBorder="1" applyAlignment="1">
      <alignment horizontal="center" vertical="center" wrapText="1" readingOrder="1"/>
    </xf>
    <xf numFmtId="10" fontId="12" fillId="0" borderId="15" xfId="4" applyNumberFormat="1" applyFont="1" applyFill="1" applyBorder="1" applyAlignment="1">
      <alignment horizontal="center" vertical="center" wrapText="1" readingOrder="1"/>
    </xf>
    <xf numFmtId="164" fontId="12" fillId="0" borderId="15" xfId="4" applyNumberFormat="1" applyFont="1" applyFill="1" applyBorder="1" applyAlignment="1">
      <alignment horizontal="center" vertical="center" wrapText="1" readingOrder="1"/>
    </xf>
    <xf numFmtId="0" fontId="12" fillId="3" borderId="14" xfId="0" quotePrefix="1" applyFont="1" applyFill="1" applyBorder="1" applyAlignment="1">
      <alignment horizontal="center" vertical="center" wrapText="1" readingOrder="1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/>
    <xf numFmtId="0" fontId="11" fillId="0" borderId="15" xfId="0" applyFont="1" applyBorder="1" applyAlignment="1">
      <alignment horizontal="left" vertical="center" wrapText="1" readingOrder="1"/>
    </xf>
    <xf numFmtId="164" fontId="12" fillId="0" borderId="12" xfId="0" applyNumberFormat="1" applyFont="1" applyBorder="1" applyAlignment="1">
      <alignment horizontal="center"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164" fontId="12" fillId="0" borderId="13" xfId="0" applyNumberFormat="1" applyFont="1" applyBorder="1" applyAlignment="1">
      <alignment horizontal="center" vertical="center" wrapText="1" readingOrder="1"/>
    </xf>
    <xf numFmtId="164" fontId="12" fillId="3" borderId="15" xfId="0" applyNumberFormat="1" applyFont="1" applyFill="1" applyBorder="1" applyAlignment="1">
      <alignment horizontal="center" vertical="center" wrapText="1" readingOrder="1"/>
    </xf>
    <xf numFmtId="164" fontId="12" fillId="0" borderId="15" xfId="0" applyNumberFormat="1" applyFont="1" applyBorder="1" applyAlignment="1">
      <alignment horizontal="center" vertical="center" wrapText="1" readingOrder="1"/>
    </xf>
    <xf numFmtId="164" fontId="12" fillId="0" borderId="14" xfId="0" applyNumberFormat="1" applyFont="1" applyBorder="1" applyAlignment="1">
      <alignment horizontal="center" vertical="center" wrapText="1" readingOrder="1"/>
    </xf>
    <xf numFmtId="164" fontId="12" fillId="3" borderId="14" xfId="0" applyNumberFormat="1" applyFont="1" applyFill="1" applyBorder="1" applyAlignment="1">
      <alignment horizontal="center" vertical="center" wrapText="1" readingOrder="1"/>
    </xf>
    <xf numFmtId="164" fontId="12" fillId="3" borderId="13" xfId="0" applyNumberFormat="1" applyFont="1" applyFill="1" applyBorder="1" applyAlignment="1">
      <alignment horizontal="center" vertical="center" wrapText="1" readingOrder="1"/>
    </xf>
    <xf numFmtId="164" fontId="12" fillId="3" borderId="2" xfId="0" applyNumberFormat="1" applyFont="1" applyFill="1" applyBorder="1" applyAlignment="1">
      <alignment horizontal="center" vertical="center" wrapText="1" readingOrder="1"/>
    </xf>
    <xf numFmtId="169" fontId="12" fillId="0" borderId="12" xfId="0" applyNumberFormat="1" applyFont="1" applyBorder="1" applyAlignment="1">
      <alignment horizontal="center" vertical="center" wrapText="1" readingOrder="1"/>
    </xf>
    <xf numFmtId="169" fontId="12" fillId="0" borderId="2" xfId="0" applyNumberFormat="1" applyFont="1" applyBorder="1" applyAlignment="1">
      <alignment horizontal="center" vertical="center" wrapText="1" readingOrder="1"/>
    </xf>
    <xf numFmtId="169" fontId="12" fillId="0" borderId="13" xfId="0" applyNumberFormat="1" applyFont="1" applyBorder="1" applyAlignment="1">
      <alignment horizontal="center" vertical="center" wrapText="1" readingOrder="1"/>
    </xf>
    <xf numFmtId="169" fontId="12" fillId="3" borderId="15" xfId="0" applyNumberFormat="1" applyFont="1" applyFill="1" applyBorder="1" applyAlignment="1">
      <alignment horizontal="center" vertical="center" wrapText="1" readingOrder="1"/>
    </xf>
    <xf numFmtId="169" fontId="12" fillId="0" borderId="15" xfId="0" applyNumberFormat="1" applyFont="1" applyBorder="1" applyAlignment="1">
      <alignment horizontal="center" vertical="center" wrapText="1" readingOrder="1"/>
    </xf>
    <xf numFmtId="169" fontId="12" fillId="3" borderId="14" xfId="0" applyNumberFormat="1" applyFont="1" applyFill="1" applyBorder="1" applyAlignment="1">
      <alignment horizontal="center" vertical="center" wrapText="1" readingOrder="1"/>
    </xf>
    <xf numFmtId="169" fontId="12" fillId="0" borderId="14" xfId="0" applyNumberFormat="1" applyFont="1" applyBorder="1" applyAlignment="1">
      <alignment horizontal="center" vertical="center" wrapText="1" readingOrder="1"/>
    </xf>
    <xf numFmtId="169" fontId="12" fillId="3" borderId="13" xfId="0" applyNumberFormat="1" applyFont="1" applyFill="1" applyBorder="1" applyAlignment="1">
      <alignment horizontal="center" vertical="center" wrapText="1" readingOrder="1"/>
    </xf>
    <xf numFmtId="169" fontId="12" fillId="3" borderId="2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/>
    </xf>
    <xf numFmtId="166" fontId="3" fillId="2" borderId="0" xfId="0" applyNumberFormat="1" applyFont="1" applyFill="1" applyAlignment="1">
      <alignment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1" fontId="6" fillId="6" borderId="22" xfId="3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1" fillId="7" borderId="24" xfId="0" applyFont="1" applyFill="1" applyBorder="1" applyAlignment="1">
      <alignment horizontal="left" vertical="center"/>
    </xf>
    <xf numFmtId="165" fontId="21" fillId="7" borderId="24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1" fillId="3" borderId="4" xfId="0" applyFont="1" applyFill="1" applyBorder="1" applyAlignment="1">
      <alignment horizontal="left" vertical="center"/>
    </xf>
    <xf numFmtId="165" fontId="21" fillId="3" borderId="4" xfId="0" applyNumberFormat="1" applyFont="1" applyFill="1" applyBorder="1" applyAlignment="1">
      <alignment vertical="center"/>
    </xf>
    <xf numFmtId="0" fontId="23" fillId="2" borderId="24" xfId="0" applyFont="1" applyFill="1" applyBorder="1" applyAlignment="1">
      <alignment horizontal="left" vertical="center" indent="2"/>
    </xf>
    <xf numFmtId="165" fontId="23" fillId="2" borderId="24" xfId="1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165" fontId="23" fillId="0" borderId="0" xfId="1" applyNumberFormat="1" applyFont="1" applyFill="1" applyBorder="1" applyAlignment="1">
      <alignment horizontal="right" vertical="center"/>
    </xf>
    <xf numFmtId="0" fontId="23" fillId="3" borderId="24" xfId="0" applyFont="1" applyFill="1" applyBorder="1" applyAlignment="1">
      <alignment horizontal="left" vertical="center" indent="2"/>
    </xf>
    <xf numFmtId="165" fontId="23" fillId="3" borderId="24" xfId="1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165" fontId="21" fillId="3" borderId="0" xfId="0" applyNumberFormat="1" applyFont="1" applyFill="1" applyAlignment="1">
      <alignment vertical="center"/>
    </xf>
    <xf numFmtId="0" fontId="13" fillId="4" borderId="0" xfId="0" applyFont="1" applyFill="1" applyAlignment="1">
      <alignment horizontal="left" vertical="center" indent="2"/>
    </xf>
    <xf numFmtId="165" fontId="13" fillId="4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65" fontId="17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10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7" fontId="3" fillId="2" borderId="0" xfId="4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10" fillId="2" borderId="0" xfId="1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vertical="center"/>
    </xf>
    <xf numFmtId="0" fontId="13" fillId="4" borderId="0" xfId="0" applyFont="1" applyFill="1" applyAlignment="1">
      <alignment horizontal="left" vertical="center" indent="5"/>
    </xf>
    <xf numFmtId="0" fontId="13" fillId="4" borderId="0" xfId="0" applyFont="1" applyFill="1" applyAlignment="1">
      <alignment vertical="center"/>
    </xf>
    <xf numFmtId="165" fontId="3" fillId="0" borderId="0" xfId="1" applyNumberFormat="1" applyFont="1" applyFill="1"/>
    <xf numFmtId="43" fontId="9" fillId="0" borderId="1" xfId="1" applyFont="1" applyBorder="1" applyAlignment="1">
      <alignment vertical="center"/>
    </xf>
    <xf numFmtId="0" fontId="10" fillId="0" borderId="0" xfId="0" applyFont="1"/>
    <xf numFmtId="0" fontId="3" fillId="2" borderId="0" xfId="7" applyFont="1" applyFill="1"/>
    <xf numFmtId="0" fontId="3" fillId="0" borderId="0" xfId="7" applyFont="1"/>
    <xf numFmtId="1" fontId="6" fillId="0" borderId="20" xfId="8" quotePrefix="1" applyNumberFormat="1" applyFont="1" applyBorder="1" applyAlignment="1">
      <alignment horizontal="center" vertical="center" wrapText="1"/>
    </xf>
    <xf numFmtId="0" fontId="21" fillId="3" borderId="0" xfId="7" applyFont="1" applyFill="1" applyAlignment="1">
      <alignment horizontal="center" vertical="center" wrapText="1"/>
    </xf>
    <xf numFmtId="0" fontId="23" fillId="3" borderId="26" xfId="7" applyFont="1" applyFill="1" applyBorder="1" applyAlignment="1">
      <alignment horizontal="center" vertical="center" wrapText="1"/>
    </xf>
    <xf numFmtId="9" fontId="23" fillId="3" borderId="26" xfId="7" applyNumberFormat="1" applyFont="1" applyFill="1" applyBorder="1" applyAlignment="1">
      <alignment horizontal="center" vertical="center"/>
    </xf>
    <xf numFmtId="167" fontId="23" fillId="3" borderId="26" xfId="9" applyNumberFormat="1" applyFont="1" applyFill="1" applyBorder="1" applyAlignment="1">
      <alignment horizontal="center" vertical="center"/>
    </xf>
    <xf numFmtId="164" fontId="23" fillId="3" borderId="26" xfId="7" applyNumberFormat="1" applyFont="1" applyFill="1" applyBorder="1" applyAlignment="1">
      <alignment horizontal="center" vertical="center"/>
    </xf>
    <xf numFmtId="3" fontId="23" fillId="3" borderId="26" xfId="7" applyNumberFormat="1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 readingOrder="1"/>
    </xf>
    <xf numFmtId="14" fontId="23" fillId="3" borderId="26" xfId="7" applyNumberFormat="1" applyFont="1" applyFill="1" applyBorder="1" applyAlignment="1">
      <alignment horizontal="center" vertical="center" wrapText="1"/>
    </xf>
    <xf numFmtId="9" fontId="23" fillId="3" borderId="26" xfId="4" applyFont="1" applyFill="1" applyBorder="1" applyAlignment="1">
      <alignment horizontal="center" vertical="center" wrapText="1"/>
    </xf>
    <xf numFmtId="9" fontId="23" fillId="3" borderId="26" xfId="7" applyNumberFormat="1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 wrapText="1"/>
    </xf>
    <xf numFmtId="9" fontId="23" fillId="3" borderId="27" xfId="7" applyNumberFormat="1" applyFont="1" applyFill="1" applyBorder="1" applyAlignment="1">
      <alignment horizontal="center" vertical="center"/>
    </xf>
    <xf numFmtId="0" fontId="23" fillId="3" borderId="27" xfId="7" applyFont="1" applyFill="1" applyBorder="1" applyAlignment="1">
      <alignment horizontal="center" vertical="center"/>
    </xf>
    <xf numFmtId="167" fontId="23" fillId="3" borderId="27" xfId="9" applyNumberFormat="1" applyFont="1" applyFill="1" applyBorder="1" applyAlignment="1">
      <alignment horizontal="center" vertical="center"/>
    </xf>
    <xf numFmtId="168" fontId="23" fillId="3" borderId="27" xfId="7" applyNumberFormat="1" applyFont="1" applyFill="1" applyBorder="1" applyAlignment="1">
      <alignment horizontal="center" vertical="center"/>
    </xf>
    <xf numFmtId="164" fontId="23" fillId="3" borderId="27" xfId="7" applyNumberFormat="1" applyFont="1" applyFill="1" applyBorder="1" applyAlignment="1">
      <alignment horizontal="center" vertical="center"/>
    </xf>
    <xf numFmtId="3" fontId="23" fillId="3" borderId="27" xfId="7" applyNumberFormat="1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readingOrder="1"/>
    </xf>
    <xf numFmtId="14" fontId="23" fillId="3" borderId="27" xfId="7" applyNumberFormat="1" applyFont="1" applyFill="1" applyBorder="1" applyAlignment="1">
      <alignment horizontal="center" vertical="center" wrapText="1"/>
    </xf>
    <xf numFmtId="9" fontId="23" fillId="3" borderId="27" xfId="4" applyFont="1" applyFill="1" applyBorder="1" applyAlignment="1">
      <alignment horizontal="center" vertical="center" wrapText="1"/>
    </xf>
    <xf numFmtId="9" fontId="23" fillId="3" borderId="27" xfId="7" applyNumberFormat="1" applyFont="1" applyFill="1" applyBorder="1" applyAlignment="1">
      <alignment horizontal="center" vertical="center" wrapText="1"/>
    </xf>
    <xf numFmtId="0" fontId="23" fillId="3" borderId="28" xfId="7" applyFont="1" applyFill="1" applyBorder="1" applyAlignment="1">
      <alignment horizontal="center" vertical="center" wrapText="1"/>
    </xf>
    <xf numFmtId="9" fontId="23" fillId="3" borderId="28" xfId="7" applyNumberFormat="1" applyFont="1" applyFill="1" applyBorder="1" applyAlignment="1">
      <alignment horizontal="center" vertical="center"/>
    </xf>
    <xf numFmtId="0" fontId="23" fillId="3" borderId="28" xfId="7" applyFont="1" applyFill="1" applyBorder="1" applyAlignment="1">
      <alignment horizontal="center" vertical="center"/>
    </xf>
    <xf numFmtId="167" fontId="23" fillId="3" borderId="28" xfId="9" applyNumberFormat="1" applyFont="1" applyFill="1" applyBorder="1" applyAlignment="1">
      <alignment horizontal="center" vertical="center"/>
    </xf>
    <xf numFmtId="168" fontId="23" fillId="3" borderId="28" xfId="7" applyNumberFormat="1" applyFont="1" applyFill="1" applyBorder="1" applyAlignment="1">
      <alignment horizontal="center" vertical="center"/>
    </xf>
    <xf numFmtId="164" fontId="23" fillId="3" borderId="28" xfId="7" applyNumberFormat="1" applyFont="1" applyFill="1" applyBorder="1" applyAlignment="1">
      <alignment horizontal="center" vertical="center"/>
    </xf>
    <xf numFmtId="3" fontId="23" fillId="3" borderId="28" xfId="7" applyNumberFormat="1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readingOrder="1"/>
    </xf>
    <xf numFmtId="17" fontId="23" fillId="3" borderId="28" xfId="7" quotePrefix="1" applyNumberFormat="1" applyFont="1" applyFill="1" applyBorder="1" applyAlignment="1">
      <alignment horizontal="center" vertical="center"/>
    </xf>
    <xf numFmtId="9" fontId="23" fillId="3" borderId="28" xfId="4" applyFont="1" applyFill="1" applyBorder="1" applyAlignment="1">
      <alignment horizontal="center" vertical="center" wrapText="1"/>
    </xf>
    <xf numFmtId="9" fontId="23" fillId="3" borderId="28" xfId="7" applyNumberFormat="1" applyFont="1" applyFill="1" applyBorder="1" applyAlignment="1">
      <alignment horizontal="center" vertical="center" wrapText="1"/>
    </xf>
    <xf numFmtId="14" fontId="23" fillId="3" borderId="28" xfId="7" applyNumberFormat="1" applyFont="1" applyFill="1" applyBorder="1" applyAlignment="1">
      <alignment horizontal="center" vertical="center" wrapText="1"/>
    </xf>
    <xf numFmtId="0" fontId="23" fillId="2" borderId="29" xfId="7" applyFont="1" applyFill="1" applyBorder="1" applyAlignment="1">
      <alignment horizontal="center" vertical="center" wrapText="1"/>
    </xf>
    <xf numFmtId="9" fontId="23" fillId="2" borderId="29" xfId="7" applyNumberFormat="1" applyFont="1" applyFill="1" applyBorder="1" applyAlignment="1">
      <alignment horizontal="center" vertical="center"/>
    </xf>
    <xf numFmtId="0" fontId="23" fillId="0" borderId="29" xfId="7" applyFont="1" applyBorder="1" applyAlignment="1">
      <alignment horizontal="center" vertical="center"/>
    </xf>
    <xf numFmtId="167" fontId="23" fillId="0" borderId="29" xfId="9" applyNumberFormat="1" applyFont="1" applyBorder="1" applyAlignment="1">
      <alignment horizontal="center" vertical="center"/>
    </xf>
    <xf numFmtId="168" fontId="23" fillId="0" borderId="29" xfId="7" applyNumberFormat="1" applyFont="1" applyBorder="1" applyAlignment="1">
      <alignment horizontal="center" vertical="center"/>
    </xf>
    <xf numFmtId="164" fontId="23" fillId="0" borderId="29" xfId="7" applyNumberFormat="1" applyFont="1" applyBorder="1" applyAlignment="1">
      <alignment horizontal="center" vertical="center"/>
    </xf>
    <xf numFmtId="3" fontId="23" fillId="2" borderId="29" xfId="7" applyNumberFormat="1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 readingOrder="1"/>
    </xf>
    <xf numFmtId="14" fontId="23" fillId="0" borderId="29" xfId="7" applyNumberFormat="1" applyFont="1" applyBorder="1" applyAlignment="1">
      <alignment horizontal="center" vertical="center" wrapText="1"/>
    </xf>
    <xf numFmtId="9" fontId="23" fillId="0" borderId="29" xfId="4" applyFont="1" applyFill="1" applyBorder="1" applyAlignment="1">
      <alignment horizontal="center" vertical="center" wrapText="1"/>
    </xf>
    <xf numFmtId="9" fontId="23" fillId="0" borderId="29" xfId="7" applyNumberFormat="1" applyFont="1" applyBorder="1" applyAlignment="1">
      <alignment horizontal="center" vertical="center" wrapText="1"/>
    </xf>
    <xf numFmtId="0" fontId="23" fillId="2" borderId="30" xfId="7" applyFont="1" applyFill="1" applyBorder="1" applyAlignment="1">
      <alignment horizontal="center" vertical="center" wrapText="1"/>
    </xf>
    <xf numFmtId="9" fontId="23" fillId="2" borderId="30" xfId="7" applyNumberFormat="1" applyFont="1" applyFill="1" applyBorder="1" applyAlignment="1">
      <alignment horizontal="center" vertical="center"/>
    </xf>
    <xf numFmtId="0" fontId="23" fillId="0" borderId="30" xfId="7" applyFont="1" applyBorder="1" applyAlignment="1">
      <alignment horizontal="center" vertical="center" wrapText="1"/>
    </xf>
    <xf numFmtId="167" fontId="23" fillId="0" borderId="30" xfId="9" applyNumberFormat="1" applyFont="1" applyBorder="1" applyAlignment="1">
      <alignment horizontal="center" vertical="center"/>
    </xf>
    <xf numFmtId="168" fontId="23" fillId="0" borderId="30" xfId="7" applyNumberFormat="1" applyFont="1" applyBorder="1" applyAlignment="1">
      <alignment horizontal="center" vertical="center"/>
    </xf>
    <xf numFmtId="164" fontId="23" fillId="0" borderId="30" xfId="7" applyNumberFormat="1" applyFont="1" applyBorder="1" applyAlignment="1">
      <alignment horizontal="center" vertical="center"/>
    </xf>
    <xf numFmtId="3" fontId="23" fillId="2" borderId="30" xfId="7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readingOrder="1"/>
    </xf>
    <xf numFmtId="17" fontId="23" fillId="0" borderId="30" xfId="7" quotePrefix="1" applyNumberFormat="1" applyFont="1" applyBorder="1" applyAlignment="1">
      <alignment horizontal="center" vertical="center"/>
    </xf>
    <xf numFmtId="9" fontId="23" fillId="0" borderId="30" xfId="4" applyFont="1" applyFill="1" applyBorder="1" applyAlignment="1">
      <alignment horizontal="center" vertical="center" wrapText="1"/>
    </xf>
    <xf numFmtId="9" fontId="23" fillId="0" borderId="30" xfId="7" quotePrefix="1" applyNumberFormat="1" applyFont="1" applyBorder="1" applyAlignment="1">
      <alignment horizontal="center" vertical="center"/>
    </xf>
    <xf numFmtId="14" fontId="23" fillId="0" borderId="30" xfId="7" applyNumberFormat="1" applyFont="1" applyBorder="1" applyAlignment="1">
      <alignment horizontal="center" vertical="center" wrapText="1"/>
    </xf>
    <xf numFmtId="0" fontId="23" fillId="0" borderId="30" xfId="7" applyFont="1" applyBorder="1" applyAlignment="1">
      <alignment horizontal="center" vertical="center"/>
    </xf>
    <xf numFmtId="164" fontId="23" fillId="0" borderId="30" xfId="7" quotePrefix="1" applyNumberFormat="1" applyFont="1" applyBorder="1" applyAlignment="1">
      <alignment horizontal="center" vertical="center"/>
    </xf>
    <xf numFmtId="9" fontId="23" fillId="0" borderId="30" xfId="7" applyNumberFormat="1" applyFont="1" applyBorder="1" applyAlignment="1">
      <alignment horizontal="center" vertical="center" wrapText="1"/>
    </xf>
    <xf numFmtId="0" fontId="23" fillId="2" borderId="31" xfId="7" applyFont="1" applyFill="1" applyBorder="1" applyAlignment="1">
      <alignment horizontal="center" vertical="center" wrapText="1"/>
    </xf>
    <xf numFmtId="9" fontId="23" fillId="2" borderId="31" xfId="7" applyNumberFormat="1" applyFont="1" applyFill="1" applyBorder="1" applyAlignment="1">
      <alignment horizontal="center" vertical="center"/>
    </xf>
    <xf numFmtId="0" fontId="23" fillId="0" borderId="31" xfId="7" applyFont="1" applyBorder="1" applyAlignment="1">
      <alignment horizontal="center" vertical="center" wrapText="1"/>
    </xf>
    <xf numFmtId="167" fontId="23" fillId="0" borderId="31" xfId="9" applyNumberFormat="1" applyFont="1" applyBorder="1" applyAlignment="1">
      <alignment horizontal="center" vertical="center"/>
    </xf>
    <xf numFmtId="168" fontId="23" fillId="0" borderId="31" xfId="7" applyNumberFormat="1" applyFont="1" applyBorder="1" applyAlignment="1">
      <alignment horizontal="center" vertical="center"/>
    </xf>
    <xf numFmtId="164" fontId="23" fillId="0" borderId="31" xfId="7" applyNumberFormat="1" applyFont="1" applyBorder="1" applyAlignment="1">
      <alignment horizontal="center" vertical="center"/>
    </xf>
    <xf numFmtId="164" fontId="23" fillId="0" borderId="31" xfId="7" quotePrefix="1" applyNumberFormat="1" applyFont="1" applyBorder="1" applyAlignment="1">
      <alignment horizontal="center" vertical="center"/>
    </xf>
    <xf numFmtId="3" fontId="23" fillId="2" borderId="31" xfId="7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readingOrder="1"/>
    </xf>
    <xf numFmtId="17" fontId="23" fillId="0" borderId="31" xfId="7" applyNumberFormat="1" applyFont="1" applyBorder="1" applyAlignment="1">
      <alignment horizontal="center" vertical="center"/>
    </xf>
    <xf numFmtId="9" fontId="23" fillId="0" borderId="31" xfId="4" applyFont="1" applyFill="1" applyBorder="1" applyAlignment="1">
      <alignment horizontal="center" vertical="center" wrapText="1"/>
    </xf>
    <xf numFmtId="9" fontId="23" fillId="0" borderId="31" xfId="7" quotePrefix="1" applyNumberFormat="1" applyFont="1" applyBorder="1" applyAlignment="1">
      <alignment horizontal="center" vertical="center"/>
    </xf>
    <xf numFmtId="0" fontId="23" fillId="3" borderId="32" xfId="7" applyFont="1" applyFill="1" applyBorder="1" applyAlignment="1">
      <alignment horizontal="center" vertical="center" wrapText="1"/>
    </xf>
    <xf numFmtId="9" fontId="23" fillId="3" borderId="32" xfId="7" applyNumberFormat="1" applyFont="1" applyFill="1" applyBorder="1" applyAlignment="1">
      <alignment horizontal="center" vertical="center"/>
    </xf>
    <xf numFmtId="167" fontId="23" fillId="3" borderId="32" xfId="9" applyNumberFormat="1" applyFont="1" applyFill="1" applyBorder="1" applyAlignment="1">
      <alignment horizontal="center" vertical="center"/>
    </xf>
    <xf numFmtId="168" fontId="23" fillId="3" borderId="32" xfId="7" applyNumberFormat="1" applyFont="1" applyFill="1" applyBorder="1" applyAlignment="1">
      <alignment horizontal="center" vertical="center"/>
    </xf>
    <xf numFmtId="164" fontId="23" fillId="3" borderId="32" xfId="7" applyNumberFormat="1" applyFont="1" applyFill="1" applyBorder="1" applyAlignment="1">
      <alignment horizontal="center" vertical="center"/>
    </xf>
    <xf numFmtId="3" fontId="23" fillId="3" borderId="32" xfId="7" applyNumberFormat="1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 readingOrder="1"/>
    </xf>
    <xf numFmtId="14" fontId="23" fillId="3" borderId="32" xfId="7" applyNumberFormat="1" applyFont="1" applyFill="1" applyBorder="1" applyAlignment="1">
      <alignment horizontal="center" vertical="center" wrapText="1"/>
    </xf>
    <xf numFmtId="9" fontId="23" fillId="3" borderId="32" xfId="4" applyFont="1" applyFill="1" applyBorder="1" applyAlignment="1">
      <alignment horizontal="center" vertical="center" wrapText="1"/>
    </xf>
    <xf numFmtId="9" fontId="23" fillId="3" borderId="32" xfId="7" quotePrefix="1" applyNumberFormat="1" applyFont="1" applyFill="1" applyBorder="1" applyAlignment="1">
      <alignment horizontal="center" vertical="center"/>
    </xf>
    <xf numFmtId="9" fontId="23" fillId="3" borderId="28" xfId="7" quotePrefix="1" applyNumberFormat="1" applyFont="1" applyFill="1" applyBorder="1" applyAlignment="1">
      <alignment horizontal="center" vertical="center"/>
    </xf>
    <xf numFmtId="0" fontId="23" fillId="0" borderId="29" xfId="7" applyFont="1" applyBorder="1" applyAlignment="1">
      <alignment horizontal="center" vertical="center" wrapText="1"/>
    </xf>
    <xf numFmtId="9" fontId="23" fillId="0" borderId="29" xfId="7" quotePrefix="1" applyNumberFormat="1" applyFont="1" applyBorder="1" applyAlignment="1">
      <alignment horizontal="center" vertical="center"/>
    </xf>
    <xf numFmtId="14" fontId="23" fillId="0" borderId="31" xfId="7" applyNumberFormat="1" applyFont="1" applyBorder="1" applyAlignment="1">
      <alignment horizontal="center" vertical="center" wrapText="1"/>
    </xf>
    <xf numFmtId="0" fontId="23" fillId="3" borderId="0" xfId="7" applyFont="1" applyFill="1" applyAlignment="1">
      <alignment horizontal="center" vertical="center" wrapText="1"/>
    </xf>
    <xf numFmtId="9" fontId="23" fillId="3" borderId="0" xfId="7" applyNumberFormat="1" applyFont="1" applyFill="1" applyAlignment="1">
      <alignment horizontal="center" vertical="center"/>
    </xf>
    <xf numFmtId="167" fontId="23" fillId="3" borderId="0" xfId="9" applyNumberFormat="1" applyFont="1" applyFill="1" applyBorder="1" applyAlignment="1">
      <alignment horizontal="center" vertical="center"/>
    </xf>
    <xf numFmtId="168" fontId="23" fillId="3" borderId="0" xfId="7" applyNumberFormat="1" applyFont="1" applyFill="1" applyAlignment="1">
      <alignment horizontal="center" vertical="center"/>
    </xf>
    <xf numFmtId="164" fontId="23" fillId="3" borderId="0" xfId="7" applyNumberFormat="1" applyFont="1" applyFill="1" applyAlignment="1">
      <alignment horizontal="center" vertical="center"/>
    </xf>
    <xf numFmtId="164" fontId="23" fillId="3" borderId="0" xfId="7" quotePrefix="1" applyNumberFormat="1" applyFont="1" applyFill="1" applyAlignment="1">
      <alignment horizontal="center" vertical="center"/>
    </xf>
    <xf numFmtId="3" fontId="23" fillId="3" borderId="0" xfId="7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readingOrder="1"/>
    </xf>
    <xf numFmtId="14" fontId="23" fillId="3" borderId="0" xfId="7" applyNumberFormat="1" applyFont="1" applyFill="1" applyAlignment="1">
      <alignment horizontal="center" vertical="center" wrapText="1"/>
    </xf>
    <xf numFmtId="9" fontId="23" fillId="3" borderId="0" xfId="4" applyFont="1" applyFill="1" applyBorder="1" applyAlignment="1">
      <alignment horizontal="center" vertical="center" wrapText="1"/>
    </xf>
    <xf numFmtId="9" fontId="23" fillId="3" borderId="0" xfId="7" quotePrefix="1" applyNumberFormat="1" applyFont="1" applyFill="1" applyAlignment="1">
      <alignment horizontal="center" vertical="center"/>
    </xf>
    <xf numFmtId="0" fontId="23" fillId="2" borderId="29" xfId="7" quotePrefix="1" applyFont="1" applyFill="1" applyBorder="1" applyAlignment="1">
      <alignment horizontal="center" vertical="center" wrapText="1"/>
    </xf>
    <xf numFmtId="9" fontId="23" fillId="0" borderId="29" xfId="4" quotePrefix="1" applyFont="1" applyFill="1" applyBorder="1" applyAlignment="1">
      <alignment horizontal="center" vertical="center"/>
    </xf>
    <xf numFmtId="0" fontId="23" fillId="2" borderId="31" xfId="7" quotePrefix="1" applyFont="1" applyFill="1" applyBorder="1" applyAlignment="1">
      <alignment horizontal="center" vertical="center" wrapText="1"/>
    </xf>
    <xf numFmtId="9" fontId="23" fillId="0" borderId="31" xfId="4" quotePrefix="1" applyFont="1" applyFill="1" applyBorder="1" applyAlignment="1">
      <alignment horizontal="center" vertical="center"/>
    </xf>
    <xf numFmtId="0" fontId="23" fillId="3" borderId="32" xfId="7" quotePrefix="1" applyFont="1" applyFill="1" applyBorder="1" applyAlignment="1">
      <alignment horizontal="center" vertical="center" wrapText="1"/>
    </xf>
    <xf numFmtId="9" fontId="23" fillId="3" borderId="32" xfId="4" quotePrefix="1" applyFont="1" applyFill="1" applyBorder="1" applyAlignment="1">
      <alignment horizontal="center" vertical="center"/>
    </xf>
    <xf numFmtId="0" fontId="23" fillId="3" borderId="27" xfId="7" quotePrefix="1" applyFont="1" applyFill="1" applyBorder="1" applyAlignment="1">
      <alignment horizontal="center" vertical="center" wrapText="1"/>
    </xf>
    <xf numFmtId="9" fontId="23" fillId="3" borderId="27" xfId="4" quotePrefix="1" applyFont="1" applyFill="1" applyBorder="1" applyAlignment="1">
      <alignment horizontal="center" vertical="center"/>
    </xf>
    <xf numFmtId="0" fontId="23" fillId="3" borderId="33" xfId="7" quotePrefix="1" applyFont="1" applyFill="1" applyBorder="1" applyAlignment="1">
      <alignment horizontal="center" vertical="center" wrapText="1"/>
    </xf>
    <xf numFmtId="0" fontId="23" fillId="3" borderId="33" xfId="7" applyFont="1" applyFill="1" applyBorder="1" applyAlignment="1">
      <alignment horizontal="center" vertical="center" wrapText="1"/>
    </xf>
    <xf numFmtId="9" fontId="23" fillId="3" borderId="33" xfId="7" applyNumberFormat="1" applyFont="1" applyFill="1" applyBorder="1" applyAlignment="1">
      <alignment horizontal="center" vertical="center"/>
    </xf>
    <xf numFmtId="167" fontId="23" fillId="3" borderId="33" xfId="9" applyNumberFormat="1" applyFont="1" applyFill="1" applyBorder="1" applyAlignment="1">
      <alignment horizontal="center" vertical="center"/>
    </xf>
    <xf numFmtId="168" fontId="23" fillId="3" borderId="33" xfId="7" applyNumberFormat="1" applyFont="1" applyFill="1" applyBorder="1" applyAlignment="1">
      <alignment horizontal="center" vertical="center"/>
    </xf>
    <xf numFmtId="164" fontId="23" fillId="3" borderId="33" xfId="7" applyNumberFormat="1" applyFont="1" applyFill="1" applyBorder="1" applyAlignment="1">
      <alignment horizontal="center" vertical="center"/>
    </xf>
    <xf numFmtId="3" fontId="23" fillId="3" borderId="33" xfId="7" applyNumberFormat="1" applyFont="1" applyFill="1" applyBorder="1" applyAlignment="1">
      <alignment horizontal="center" vertical="center"/>
    </xf>
    <xf numFmtId="14" fontId="23" fillId="3" borderId="33" xfId="7" applyNumberFormat="1" applyFont="1" applyFill="1" applyBorder="1" applyAlignment="1">
      <alignment horizontal="center" vertical="center" wrapText="1"/>
    </xf>
    <xf numFmtId="9" fontId="23" fillId="3" borderId="33" xfId="4" applyFont="1" applyFill="1" applyBorder="1" applyAlignment="1">
      <alignment horizontal="center" vertical="center" wrapText="1"/>
    </xf>
    <xf numFmtId="9" fontId="23" fillId="3" borderId="33" xfId="4" quotePrefix="1" applyFont="1" applyFill="1" applyBorder="1" applyAlignment="1">
      <alignment horizontal="center" vertical="center"/>
    </xf>
    <xf numFmtId="167" fontId="13" fillId="4" borderId="9" xfId="4" applyNumberFormat="1" applyFont="1" applyFill="1" applyBorder="1" applyAlignment="1">
      <alignment horizontal="center" vertical="center"/>
    </xf>
    <xf numFmtId="168" fontId="13" fillId="4" borderId="9" xfId="7" applyNumberFormat="1" applyFont="1" applyFill="1" applyBorder="1" applyAlignment="1">
      <alignment horizontal="center" vertical="center"/>
    </xf>
    <xf numFmtId="3" fontId="13" fillId="4" borderId="9" xfId="7" applyNumberFormat="1" applyFont="1" applyFill="1" applyBorder="1" applyAlignment="1">
      <alignment horizontal="center" vertical="center"/>
    </xf>
    <xf numFmtId="0" fontId="26" fillId="0" borderId="0" xfId="7" applyFont="1" applyAlignment="1">
      <alignment horizontal="center" vertical="center" wrapText="1"/>
    </xf>
    <xf numFmtId="3" fontId="26" fillId="2" borderId="0" xfId="7" applyNumberFormat="1" applyFont="1" applyFill="1" applyAlignment="1">
      <alignment horizontal="center" vertical="center"/>
    </xf>
    <xf numFmtId="168" fontId="3" fillId="2" borderId="0" xfId="7" applyNumberFormat="1" applyFont="1" applyFill="1"/>
    <xf numFmtId="168" fontId="26" fillId="2" borderId="0" xfId="7" applyNumberFormat="1" applyFont="1" applyFill="1" applyAlignment="1">
      <alignment horizontal="center" vertical="center"/>
    </xf>
    <xf numFmtId="0" fontId="3" fillId="2" borderId="0" xfId="7" applyFont="1" applyFill="1" applyAlignment="1">
      <alignment vertical="top"/>
    </xf>
    <xf numFmtId="168" fontId="26" fillId="0" borderId="0" xfId="7" applyNumberFormat="1" applyFont="1" applyAlignment="1">
      <alignment horizontal="center" vertical="center"/>
    </xf>
    <xf numFmtId="43" fontId="6" fillId="5" borderId="0" xfId="1" applyFont="1" applyFill="1" applyAlignment="1">
      <alignment horizontal="center" vertical="center"/>
    </xf>
    <xf numFmtId="3" fontId="3" fillId="2" borderId="0" xfId="7" applyNumberFormat="1" applyFont="1" applyFill="1"/>
    <xf numFmtId="171" fontId="3" fillId="2" borderId="0" xfId="7" applyNumberFormat="1" applyFont="1" applyFill="1" applyAlignment="1">
      <alignment vertical="top"/>
    </xf>
    <xf numFmtId="0" fontId="3" fillId="0" borderId="0" xfId="7" applyFont="1" applyAlignment="1">
      <alignment vertical="top"/>
    </xf>
    <xf numFmtId="172" fontId="3" fillId="2" borderId="0" xfId="7" applyNumberFormat="1" applyFont="1" applyFill="1"/>
    <xf numFmtId="165" fontId="3" fillId="2" borderId="0" xfId="1" applyNumberFormat="1" applyFont="1" applyFill="1"/>
    <xf numFmtId="0" fontId="16" fillId="2" borderId="0" xfId="7" applyFont="1" applyFill="1"/>
    <xf numFmtId="0" fontId="11" fillId="3" borderId="0" xfId="7" applyFont="1" applyFill="1" applyAlignment="1">
      <alignment horizontal="center" vertical="center" wrapText="1"/>
    </xf>
    <xf numFmtId="0" fontId="12" fillId="3" borderId="26" xfId="7" applyFont="1" applyFill="1" applyBorder="1" applyAlignment="1">
      <alignment horizontal="center" vertical="center" wrapText="1"/>
    </xf>
    <xf numFmtId="9" fontId="12" fillId="3" borderId="26" xfId="7" applyNumberFormat="1" applyFont="1" applyFill="1" applyBorder="1" applyAlignment="1">
      <alignment horizontal="center" vertical="center"/>
    </xf>
    <xf numFmtId="167" fontId="12" fillId="3" borderId="26" xfId="9" applyNumberFormat="1" applyFont="1" applyFill="1" applyBorder="1" applyAlignment="1">
      <alignment horizontal="center" vertical="center"/>
    </xf>
    <xf numFmtId="168" fontId="12" fillId="3" borderId="26" xfId="7" applyNumberFormat="1" applyFont="1" applyFill="1" applyBorder="1" applyAlignment="1">
      <alignment horizontal="center" vertical="center"/>
    </xf>
    <xf numFmtId="164" fontId="12" fillId="3" borderId="26" xfId="7" applyNumberFormat="1" applyFont="1" applyFill="1" applyBorder="1" applyAlignment="1">
      <alignment horizontal="center" vertical="center"/>
    </xf>
    <xf numFmtId="3" fontId="12" fillId="3" borderId="26" xfId="7" applyNumberFormat="1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readingOrder="1"/>
    </xf>
    <xf numFmtId="14" fontId="12" fillId="3" borderId="26" xfId="7" applyNumberFormat="1" applyFont="1" applyFill="1" applyBorder="1" applyAlignment="1">
      <alignment horizontal="center" vertical="center" wrapText="1"/>
    </xf>
    <xf numFmtId="9" fontId="12" fillId="3" borderId="26" xfId="4" applyFont="1" applyFill="1" applyBorder="1" applyAlignment="1">
      <alignment horizontal="center" vertical="center" wrapText="1"/>
    </xf>
    <xf numFmtId="9" fontId="12" fillId="3" borderId="26" xfId="7" applyNumberFormat="1" applyFont="1" applyFill="1" applyBorder="1" applyAlignment="1">
      <alignment horizontal="center" vertical="center" wrapText="1"/>
    </xf>
    <xf numFmtId="0" fontId="12" fillId="3" borderId="27" xfId="7" applyFont="1" applyFill="1" applyBorder="1" applyAlignment="1">
      <alignment horizontal="center" vertical="center" wrapText="1"/>
    </xf>
    <xf numFmtId="9" fontId="12" fillId="3" borderId="27" xfId="7" applyNumberFormat="1" applyFont="1" applyFill="1" applyBorder="1" applyAlignment="1">
      <alignment horizontal="center" vertical="center"/>
    </xf>
    <xf numFmtId="0" fontId="12" fillId="3" borderId="27" xfId="7" applyFont="1" applyFill="1" applyBorder="1" applyAlignment="1">
      <alignment horizontal="center" vertical="center"/>
    </xf>
    <xf numFmtId="167" fontId="12" fillId="3" borderId="27" xfId="9" applyNumberFormat="1" applyFont="1" applyFill="1" applyBorder="1" applyAlignment="1">
      <alignment horizontal="center" vertical="center"/>
    </xf>
    <xf numFmtId="168" fontId="12" fillId="3" borderId="27" xfId="7" applyNumberFormat="1" applyFont="1" applyFill="1" applyBorder="1" applyAlignment="1">
      <alignment horizontal="center" vertical="center"/>
    </xf>
    <xf numFmtId="164" fontId="12" fillId="3" borderId="27" xfId="7" applyNumberFormat="1" applyFont="1" applyFill="1" applyBorder="1" applyAlignment="1">
      <alignment horizontal="center" vertical="center"/>
    </xf>
    <xf numFmtId="3" fontId="12" fillId="3" borderId="27" xfId="7" applyNumberFormat="1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 readingOrder="1"/>
    </xf>
    <xf numFmtId="14" fontId="12" fillId="3" borderId="27" xfId="7" applyNumberFormat="1" applyFont="1" applyFill="1" applyBorder="1" applyAlignment="1">
      <alignment horizontal="center" vertical="center" wrapText="1"/>
    </xf>
    <xf numFmtId="9" fontId="12" fillId="3" borderId="27" xfId="4" applyFont="1" applyFill="1" applyBorder="1" applyAlignment="1">
      <alignment horizontal="center" vertical="center" wrapText="1"/>
    </xf>
    <xf numFmtId="9" fontId="12" fillId="3" borderId="27" xfId="7" applyNumberFormat="1" applyFont="1" applyFill="1" applyBorder="1" applyAlignment="1">
      <alignment horizontal="center" vertical="center" wrapText="1"/>
    </xf>
    <xf numFmtId="0" fontId="12" fillId="3" borderId="28" xfId="7" applyFont="1" applyFill="1" applyBorder="1" applyAlignment="1">
      <alignment horizontal="center" vertical="center" wrapText="1"/>
    </xf>
    <xf numFmtId="9" fontId="12" fillId="3" borderId="28" xfId="7" applyNumberFormat="1" applyFont="1" applyFill="1" applyBorder="1" applyAlignment="1">
      <alignment horizontal="center" vertical="center"/>
    </xf>
    <xf numFmtId="0" fontId="12" fillId="3" borderId="28" xfId="7" applyFont="1" applyFill="1" applyBorder="1" applyAlignment="1">
      <alignment horizontal="center" vertical="center"/>
    </xf>
    <xf numFmtId="167" fontId="12" fillId="3" borderId="28" xfId="9" applyNumberFormat="1" applyFont="1" applyFill="1" applyBorder="1" applyAlignment="1">
      <alignment horizontal="center" vertical="center"/>
    </xf>
    <xf numFmtId="168" fontId="12" fillId="3" borderId="28" xfId="7" applyNumberFormat="1" applyFont="1" applyFill="1" applyBorder="1" applyAlignment="1">
      <alignment horizontal="center" vertical="center"/>
    </xf>
    <xf numFmtId="164" fontId="12" fillId="3" borderId="28" xfId="7" applyNumberFormat="1" applyFont="1" applyFill="1" applyBorder="1" applyAlignment="1">
      <alignment horizontal="center" vertical="center"/>
    </xf>
    <xf numFmtId="3" fontId="12" fillId="3" borderId="28" xfId="7" applyNumberFormat="1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 readingOrder="1"/>
    </xf>
    <xf numFmtId="17" fontId="12" fillId="3" borderId="28" xfId="7" quotePrefix="1" applyNumberFormat="1" applyFont="1" applyFill="1" applyBorder="1" applyAlignment="1">
      <alignment horizontal="center" vertical="center"/>
    </xf>
    <xf numFmtId="9" fontId="12" fillId="3" borderId="28" xfId="4" applyFont="1" applyFill="1" applyBorder="1" applyAlignment="1">
      <alignment horizontal="center" vertical="center" wrapText="1"/>
    </xf>
    <xf numFmtId="9" fontId="12" fillId="3" borderId="28" xfId="7" applyNumberFormat="1" applyFont="1" applyFill="1" applyBorder="1" applyAlignment="1">
      <alignment horizontal="center" vertical="center" wrapText="1"/>
    </xf>
    <xf numFmtId="14" fontId="12" fillId="3" borderId="28" xfId="7" applyNumberFormat="1" applyFont="1" applyFill="1" applyBorder="1" applyAlignment="1">
      <alignment horizontal="center" vertical="center" wrapText="1"/>
    </xf>
    <xf numFmtId="0" fontId="12" fillId="2" borderId="29" xfId="7" applyFont="1" applyFill="1" applyBorder="1" applyAlignment="1">
      <alignment horizontal="center" vertical="center" wrapText="1"/>
    </xf>
    <xf numFmtId="9" fontId="12" fillId="2" borderId="29" xfId="7" applyNumberFormat="1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/>
    </xf>
    <xf numFmtId="167" fontId="12" fillId="0" borderId="29" xfId="9" applyNumberFormat="1" applyFont="1" applyBorder="1" applyAlignment="1">
      <alignment horizontal="center" vertical="center"/>
    </xf>
    <xf numFmtId="168" fontId="12" fillId="0" borderId="29" xfId="7" applyNumberFormat="1" applyFont="1" applyBorder="1" applyAlignment="1">
      <alignment horizontal="center" vertical="center"/>
    </xf>
    <xf numFmtId="164" fontId="12" fillId="0" borderId="29" xfId="7" applyNumberFormat="1" applyFont="1" applyBorder="1" applyAlignment="1">
      <alignment horizontal="center" vertical="center"/>
    </xf>
    <xf numFmtId="3" fontId="12" fillId="2" borderId="29" xfId="7" applyNumberFormat="1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readingOrder="1"/>
    </xf>
    <xf numFmtId="14" fontId="12" fillId="0" borderId="29" xfId="7" applyNumberFormat="1" applyFont="1" applyBorder="1" applyAlignment="1">
      <alignment horizontal="center" vertical="center" wrapText="1"/>
    </xf>
    <xf numFmtId="9" fontId="12" fillId="0" borderId="29" xfId="4" applyFont="1" applyFill="1" applyBorder="1" applyAlignment="1">
      <alignment horizontal="center" vertical="center" wrapText="1"/>
    </xf>
    <xf numFmtId="9" fontId="12" fillId="0" borderId="29" xfId="7" applyNumberFormat="1" applyFont="1" applyBorder="1" applyAlignment="1">
      <alignment horizontal="center" vertical="center" wrapText="1"/>
    </xf>
    <xf numFmtId="0" fontId="12" fillId="2" borderId="30" xfId="7" applyFont="1" applyFill="1" applyBorder="1" applyAlignment="1">
      <alignment horizontal="center" vertical="center" wrapText="1"/>
    </xf>
    <xf numFmtId="9" fontId="12" fillId="2" borderId="30" xfId="7" applyNumberFormat="1" applyFont="1" applyFill="1" applyBorder="1" applyAlignment="1">
      <alignment horizontal="center" vertical="center"/>
    </xf>
    <xf numFmtId="0" fontId="12" fillId="0" borderId="30" xfId="7" applyFont="1" applyBorder="1" applyAlignment="1">
      <alignment horizontal="center" vertical="center" wrapText="1"/>
    </xf>
    <xf numFmtId="167" fontId="12" fillId="0" borderId="30" xfId="9" applyNumberFormat="1" applyFont="1" applyBorder="1" applyAlignment="1">
      <alignment horizontal="center" vertical="center"/>
    </xf>
    <xf numFmtId="168" fontId="12" fillId="0" borderId="30" xfId="7" applyNumberFormat="1" applyFont="1" applyBorder="1" applyAlignment="1">
      <alignment horizontal="center" vertical="center"/>
    </xf>
    <xf numFmtId="164" fontId="12" fillId="0" borderId="30" xfId="7" applyNumberFormat="1" applyFont="1" applyBorder="1" applyAlignment="1">
      <alignment horizontal="center" vertical="center"/>
    </xf>
    <xf numFmtId="3" fontId="12" fillId="2" borderId="30" xfId="7" applyNumberFormat="1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 readingOrder="1"/>
    </xf>
    <xf numFmtId="17" fontId="12" fillId="0" borderId="30" xfId="7" quotePrefix="1" applyNumberFormat="1" applyFont="1" applyBorder="1" applyAlignment="1">
      <alignment horizontal="center" vertical="center"/>
    </xf>
    <xf numFmtId="9" fontId="12" fillId="0" borderId="30" xfId="4" applyFont="1" applyFill="1" applyBorder="1" applyAlignment="1">
      <alignment horizontal="center" vertical="center" wrapText="1"/>
    </xf>
    <xf numFmtId="9" fontId="12" fillId="0" borderId="30" xfId="7" quotePrefix="1" applyNumberFormat="1" applyFont="1" applyBorder="1" applyAlignment="1">
      <alignment horizontal="center" vertical="center"/>
    </xf>
    <xf numFmtId="14" fontId="12" fillId="0" borderId="30" xfId="7" applyNumberFormat="1" applyFont="1" applyBorder="1" applyAlignment="1">
      <alignment horizontal="center" vertical="center" wrapText="1"/>
    </xf>
    <xf numFmtId="0" fontId="12" fillId="0" borderId="30" xfId="7" applyFont="1" applyBorder="1" applyAlignment="1">
      <alignment horizontal="center" vertical="center"/>
    </xf>
    <xf numFmtId="164" fontId="12" fillId="0" borderId="30" xfId="7" quotePrefix="1" applyNumberFormat="1" applyFont="1" applyBorder="1" applyAlignment="1">
      <alignment horizontal="center" vertical="center"/>
    </xf>
    <xf numFmtId="9" fontId="12" fillId="0" borderId="30" xfId="7" applyNumberFormat="1" applyFont="1" applyBorder="1" applyAlignment="1">
      <alignment horizontal="center" vertical="center" wrapText="1"/>
    </xf>
    <xf numFmtId="0" fontId="12" fillId="2" borderId="31" xfId="7" applyFont="1" applyFill="1" applyBorder="1" applyAlignment="1">
      <alignment horizontal="center" vertical="center" wrapText="1"/>
    </xf>
    <xf numFmtId="9" fontId="12" fillId="2" borderId="31" xfId="7" applyNumberFormat="1" applyFont="1" applyFill="1" applyBorder="1" applyAlignment="1">
      <alignment horizontal="center" vertical="center"/>
    </xf>
    <xf numFmtId="0" fontId="12" fillId="0" borderId="31" xfId="7" applyFont="1" applyBorder="1" applyAlignment="1">
      <alignment horizontal="center" vertical="center" wrapText="1"/>
    </xf>
    <xf numFmtId="167" fontId="12" fillId="0" borderId="31" xfId="9" applyNumberFormat="1" applyFont="1" applyBorder="1" applyAlignment="1">
      <alignment horizontal="center" vertical="center"/>
    </xf>
    <xf numFmtId="168" fontId="12" fillId="0" borderId="31" xfId="7" applyNumberFormat="1" applyFont="1" applyBorder="1" applyAlignment="1">
      <alignment horizontal="center" vertical="center"/>
    </xf>
    <xf numFmtId="164" fontId="12" fillId="0" borderId="31" xfId="7" applyNumberFormat="1" applyFont="1" applyBorder="1" applyAlignment="1">
      <alignment horizontal="center" vertical="center"/>
    </xf>
    <xf numFmtId="164" fontId="12" fillId="0" borderId="31" xfId="7" quotePrefix="1" applyNumberFormat="1" applyFont="1" applyBorder="1" applyAlignment="1">
      <alignment horizontal="center" vertical="center"/>
    </xf>
    <xf numFmtId="3" fontId="12" fillId="2" borderId="31" xfId="7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 readingOrder="1"/>
    </xf>
    <xf numFmtId="17" fontId="12" fillId="0" borderId="31" xfId="7" applyNumberFormat="1" applyFont="1" applyBorder="1" applyAlignment="1">
      <alignment horizontal="center" vertical="center"/>
    </xf>
    <xf numFmtId="9" fontId="12" fillId="0" borderId="31" xfId="4" applyFont="1" applyFill="1" applyBorder="1" applyAlignment="1">
      <alignment horizontal="center" vertical="center" wrapText="1"/>
    </xf>
    <xf numFmtId="9" fontId="12" fillId="0" borderId="31" xfId="7" quotePrefix="1" applyNumberFormat="1" applyFont="1" applyBorder="1" applyAlignment="1">
      <alignment horizontal="center" vertical="center"/>
    </xf>
    <xf numFmtId="0" fontId="12" fillId="3" borderId="32" xfId="7" applyFont="1" applyFill="1" applyBorder="1" applyAlignment="1">
      <alignment horizontal="center" vertical="center" wrapText="1"/>
    </xf>
    <xf numFmtId="9" fontId="12" fillId="3" borderId="32" xfId="7" applyNumberFormat="1" applyFont="1" applyFill="1" applyBorder="1" applyAlignment="1">
      <alignment horizontal="center" vertical="center"/>
    </xf>
    <xf numFmtId="167" fontId="12" fillId="3" borderId="32" xfId="9" applyNumberFormat="1" applyFont="1" applyFill="1" applyBorder="1" applyAlignment="1">
      <alignment horizontal="center" vertical="center"/>
    </xf>
    <xf numFmtId="168" fontId="12" fillId="3" borderId="32" xfId="7" applyNumberFormat="1" applyFont="1" applyFill="1" applyBorder="1" applyAlignment="1">
      <alignment horizontal="center" vertical="center"/>
    </xf>
    <xf numFmtId="164" fontId="12" fillId="3" borderId="32" xfId="7" applyNumberFormat="1" applyFont="1" applyFill="1" applyBorder="1" applyAlignment="1">
      <alignment horizontal="center" vertical="center"/>
    </xf>
    <xf numFmtId="3" fontId="12" fillId="3" borderId="32" xfId="7" applyNumberFormat="1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 vertical="center" readingOrder="1"/>
    </xf>
    <xf numFmtId="14" fontId="12" fillId="3" borderId="32" xfId="7" applyNumberFormat="1" applyFont="1" applyFill="1" applyBorder="1" applyAlignment="1">
      <alignment horizontal="center" vertical="center" wrapText="1"/>
    </xf>
    <xf numFmtId="9" fontId="12" fillId="3" borderId="32" xfId="4" applyFont="1" applyFill="1" applyBorder="1" applyAlignment="1">
      <alignment horizontal="center" vertical="center" wrapText="1"/>
    </xf>
    <xf numFmtId="9" fontId="12" fillId="3" borderId="32" xfId="7" quotePrefix="1" applyNumberFormat="1" applyFont="1" applyFill="1" applyBorder="1" applyAlignment="1">
      <alignment horizontal="center" vertical="center"/>
    </xf>
    <xf numFmtId="9" fontId="12" fillId="3" borderId="28" xfId="7" quotePrefix="1" applyNumberFormat="1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 wrapText="1"/>
    </xf>
    <xf numFmtId="9" fontId="12" fillId="0" borderId="29" xfId="7" quotePrefix="1" applyNumberFormat="1" applyFont="1" applyBorder="1" applyAlignment="1">
      <alignment horizontal="center" vertical="center"/>
    </xf>
    <xf numFmtId="14" fontId="12" fillId="0" borderId="31" xfId="7" applyNumberFormat="1" applyFont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 wrapText="1"/>
    </xf>
    <xf numFmtId="9" fontId="12" fillId="3" borderId="0" xfId="7" applyNumberFormat="1" applyFont="1" applyFill="1" applyAlignment="1">
      <alignment horizontal="center" vertical="center"/>
    </xf>
    <xf numFmtId="167" fontId="12" fillId="3" borderId="0" xfId="9" applyNumberFormat="1" applyFont="1" applyFill="1" applyBorder="1" applyAlignment="1">
      <alignment horizontal="center" vertical="center"/>
    </xf>
    <xf numFmtId="168" fontId="12" fillId="3" borderId="0" xfId="7" applyNumberFormat="1" applyFont="1" applyFill="1" applyAlignment="1">
      <alignment horizontal="center" vertical="center"/>
    </xf>
    <xf numFmtId="164" fontId="12" fillId="3" borderId="0" xfId="7" applyNumberFormat="1" applyFont="1" applyFill="1" applyAlignment="1">
      <alignment horizontal="center" vertical="center"/>
    </xf>
    <xf numFmtId="164" fontId="12" fillId="3" borderId="0" xfId="7" quotePrefix="1" applyNumberFormat="1" applyFont="1" applyFill="1" applyAlignment="1">
      <alignment horizontal="center" vertical="center"/>
    </xf>
    <xf numFmtId="3" fontId="12" fillId="3" borderId="0" xfId="7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readingOrder="1"/>
    </xf>
    <xf numFmtId="14" fontId="12" fillId="3" borderId="0" xfId="7" applyNumberFormat="1" applyFont="1" applyFill="1" applyAlignment="1">
      <alignment horizontal="center" vertical="center" wrapText="1"/>
    </xf>
    <xf numFmtId="9" fontId="12" fillId="3" borderId="0" xfId="4" applyFont="1" applyFill="1" applyBorder="1" applyAlignment="1">
      <alignment horizontal="center" vertical="center" wrapText="1"/>
    </xf>
    <xf numFmtId="9" fontId="12" fillId="3" borderId="0" xfId="7" quotePrefix="1" applyNumberFormat="1" applyFont="1" applyFill="1" applyAlignment="1">
      <alignment horizontal="center" vertical="center"/>
    </xf>
    <xf numFmtId="0" fontId="12" fillId="2" borderId="29" xfId="7" quotePrefix="1" applyFont="1" applyFill="1" applyBorder="1" applyAlignment="1">
      <alignment horizontal="center" vertical="center" wrapText="1"/>
    </xf>
    <xf numFmtId="9" fontId="12" fillId="0" borderId="29" xfId="4" quotePrefix="1" applyFont="1" applyFill="1" applyBorder="1" applyAlignment="1">
      <alignment horizontal="center" vertical="center"/>
    </xf>
    <xf numFmtId="0" fontId="12" fillId="2" borderId="31" xfId="7" quotePrefix="1" applyFont="1" applyFill="1" applyBorder="1" applyAlignment="1">
      <alignment horizontal="center" vertical="center" wrapText="1"/>
    </xf>
    <xf numFmtId="9" fontId="12" fillId="0" borderId="31" xfId="4" quotePrefix="1" applyFont="1" applyFill="1" applyBorder="1" applyAlignment="1">
      <alignment horizontal="center" vertical="center"/>
    </xf>
    <xf numFmtId="0" fontId="12" fillId="3" borderId="32" xfId="7" quotePrefix="1" applyFont="1" applyFill="1" applyBorder="1" applyAlignment="1">
      <alignment horizontal="center" vertical="center" wrapText="1"/>
    </xf>
    <xf numFmtId="9" fontId="12" fillId="3" borderId="32" xfId="4" quotePrefix="1" applyFont="1" applyFill="1" applyBorder="1" applyAlignment="1">
      <alignment horizontal="center" vertical="center"/>
    </xf>
    <xf numFmtId="0" fontId="12" fillId="3" borderId="27" xfId="7" quotePrefix="1" applyFont="1" applyFill="1" applyBorder="1" applyAlignment="1">
      <alignment horizontal="center" vertical="center" wrapText="1"/>
    </xf>
    <xf numFmtId="9" fontId="12" fillId="3" borderId="27" xfId="4" quotePrefix="1" applyFont="1" applyFill="1" applyBorder="1" applyAlignment="1">
      <alignment horizontal="center" vertical="center"/>
    </xf>
    <xf numFmtId="0" fontId="12" fillId="3" borderId="33" xfId="7" quotePrefix="1" applyFont="1" applyFill="1" applyBorder="1" applyAlignment="1">
      <alignment horizontal="center" vertical="center" wrapText="1"/>
    </xf>
    <xf numFmtId="0" fontId="12" fillId="3" borderId="33" xfId="7" applyFont="1" applyFill="1" applyBorder="1" applyAlignment="1">
      <alignment horizontal="center" vertical="center" wrapText="1"/>
    </xf>
    <xf numFmtId="9" fontId="12" fillId="3" borderId="33" xfId="7" applyNumberFormat="1" applyFont="1" applyFill="1" applyBorder="1" applyAlignment="1">
      <alignment horizontal="center" vertical="center"/>
    </xf>
    <xf numFmtId="167" fontId="12" fillId="3" borderId="33" xfId="9" applyNumberFormat="1" applyFont="1" applyFill="1" applyBorder="1" applyAlignment="1">
      <alignment horizontal="center" vertical="center"/>
    </xf>
    <xf numFmtId="168" fontId="12" fillId="3" borderId="33" xfId="7" applyNumberFormat="1" applyFont="1" applyFill="1" applyBorder="1" applyAlignment="1">
      <alignment horizontal="center" vertical="center"/>
    </xf>
    <xf numFmtId="164" fontId="12" fillId="3" borderId="33" xfId="7" applyNumberFormat="1" applyFont="1" applyFill="1" applyBorder="1" applyAlignment="1">
      <alignment horizontal="center" vertical="center"/>
    </xf>
    <xf numFmtId="3" fontId="12" fillId="3" borderId="33" xfId="7" applyNumberFormat="1" applyFont="1" applyFill="1" applyBorder="1" applyAlignment="1">
      <alignment horizontal="center" vertical="center"/>
    </xf>
    <xf numFmtId="14" fontId="12" fillId="3" borderId="33" xfId="7" applyNumberFormat="1" applyFont="1" applyFill="1" applyBorder="1" applyAlignment="1">
      <alignment horizontal="center" vertical="center" wrapText="1"/>
    </xf>
    <xf numFmtId="9" fontId="12" fillId="3" borderId="33" xfId="4" applyFont="1" applyFill="1" applyBorder="1" applyAlignment="1">
      <alignment horizontal="center" vertical="center" wrapText="1"/>
    </xf>
    <xf numFmtId="9" fontId="12" fillId="3" borderId="33" xfId="4" quotePrefix="1" applyFont="1" applyFill="1" applyBorder="1" applyAlignment="1">
      <alignment horizontal="center" vertical="center"/>
    </xf>
    <xf numFmtId="0" fontId="23" fillId="0" borderId="25" xfId="0" applyFont="1" applyBorder="1" applyAlignment="1">
      <alignment horizontal="left" vertical="center" indent="2"/>
    </xf>
    <xf numFmtId="165" fontId="23" fillId="0" borderId="25" xfId="1" applyNumberFormat="1" applyFont="1" applyFill="1" applyBorder="1" applyAlignment="1">
      <alignment horizontal="right" vertical="center"/>
    </xf>
    <xf numFmtId="171" fontId="23" fillId="3" borderId="33" xfId="7" applyNumberFormat="1" applyFont="1" applyFill="1" applyBorder="1" applyAlignment="1">
      <alignment horizontal="center" vertical="center"/>
    </xf>
    <xf numFmtId="43" fontId="6" fillId="5" borderId="0" xfId="1" applyFont="1" applyFill="1" applyAlignment="1">
      <alignment horizontal="center" vertical="top" wrapText="1"/>
    </xf>
    <xf numFmtId="0" fontId="3" fillId="2" borderId="0" xfId="7" applyFont="1" applyFill="1" applyAlignment="1">
      <alignment horizontal="center"/>
    </xf>
    <xf numFmtId="0" fontId="12" fillId="2" borderId="0" xfId="7" applyFont="1" applyFill="1" applyAlignment="1">
      <alignment horizontal="center"/>
    </xf>
    <xf numFmtId="0" fontId="12" fillId="2" borderId="0" xfId="7" applyFont="1" applyFill="1"/>
    <xf numFmtId="0" fontId="11" fillId="2" borderId="0" xfId="7" applyFont="1" applyFill="1" applyAlignment="1">
      <alignment horizontal="center"/>
    </xf>
    <xf numFmtId="1" fontId="12" fillId="2" borderId="0" xfId="7" applyNumberFormat="1" applyFont="1" applyFill="1" applyAlignment="1">
      <alignment horizontal="center"/>
    </xf>
    <xf numFmtId="0" fontId="11" fillId="2" borderId="0" xfId="7" applyFont="1" applyFill="1"/>
    <xf numFmtId="37" fontId="12" fillId="2" borderId="0" xfId="7" applyNumberFormat="1" applyFont="1" applyFill="1" applyAlignment="1">
      <alignment horizontal="center"/>
    </xf>
    <xf numFmtId="0" fontId="16" fillId="2" borderId="0" xfId="7" applyFont="1" applyFill="1" applyAlignment="1">
      <alignment horizontal="center"/>
    </xf>
    <xf numFmtId="1" fontId="3" fillId="2" borderId="0" xfId="7" applyNumberFormat="1" applyFont="1" applyFill="1" applyAlignment="1">
      <alignment horizontal="center"/>
    </xf>
    <xf numFmtId="9" fontId="12" fillId="0" borderId="18" xfId="4" applyFont="1" applyBorder="1" applyAlignment="1">
      <alignment horizontal="center" vertical="center" wrapText="1" readingOrder="1"/>
    </xf>
    <xf numFmtId="9" fontId="12" fillId="0" borderId="19" xfId="4" applyFont="1" applyBorder="1" applyAlignment="1">
      <alignment horizontal="center" vertical="center" wrapText="1" readingOrder="1"/>
    </xf>
    <xf numFmtId="1" fontId="3" fillId="0" borderId="0" xfId="0" applyNumberFormat="1" applyFont="1"/>
    <xf numFmtId="0" fontId="34" fillId="0" borderId="0" xfId="0" applyFont="1"/>
    <xf numFmtId="0" fontId="34" fillId="0" borderId="0" xfId="0" applyFont="1" applyAlignment="1">
      <alignment horizontal="center"/>
    </xf>
    <xf numFmtId="0" fontId="34" fillId="2" borderId="0" xfId="7" applyFont="1" applyFill="1"/>
    <xf numFmtId="0" fontId="5" fillId="0" borderId="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9" fontId="12" fillId="0" borderId="12" xfId="0" applyNumberFormat="1" applyFont="1" applyBorder="1" applyAlignment="1">
      <alignment horizontal="center" vertical="center" wrapText="1" readingOrder="1"/>
    </xf>
    <xf numFmtId="10" fontId="12" fillId="0" borderId="16" xfId="4" applyNumberFormat="1" applyFont="1" applyBorder="1" applyAlignment="1">
      <alignment horizontal="center" vertical="center" wrapText="1" readingOrder="1"/>
    </xf>
    <xf numFmtId="10" fontId="12" fillId="0" borderId="18" xfId="4" applyNumberFormat="1" applyFont="1" applyBorder="1" applyAlignment="1">
      <alignment horizontal="center" vertical="center" wrapText="1" readingOrder="1"/>
    </xf>
    <xf numFmtId="10" fontId="12" fillId="0" borderId="19" xfId="4" applyNumberFormat="1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vertical="center" wrapText="1" readingOrder="1"/>
    </xf>
    <xf numFmtId="0" fontId="11" fillId="0" borderId="13" xfId="0" applyFont="1" applyBorder="1" applyAlignment="1">
      <alignment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9" fontId="12" fillId="0" borderId="14" xfId="0" applyNumberFormat="1" applyFont="1" applyBorder="1" applyAlignment="1">
      <alignment horizontal="center" vertical="center" wrapText="1" readingOrder="1"/>
    </xf>
    <xf numFmtId="10" fontId="12" fillId="0" borderId="14" xfId="4" applyNumberFormat="1" applyFont="1" applyFill="1" applyBorder="1" applyAlignment="1">
      <alignment horizontal="center" vertical="center" wrapText="1" readingOrder="1"/>
    </xf>
    <xf numFmtId="10" fontId="12" fillId="0" borderId="13" xfId="4" applyNumberFormat="1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left" vertical="center" wrapText="1" readingOrder="1"/>
    </xf>
    <xf numFmtId="0" fontId="11" fillId="3" borderId="13" xfId="0" applyFont="1" applyFill="1" applyBorder="1" applyAlignment="1">
      <alignment horizontal="left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9" fontId="12" fillId="3" borderId="14" xfId="0" applyNumberFormat="1" applyFont="1" applyFill="1" applyBorder="1" applyAlignment="1">
      <alignment horizontal="center" vertical="center" wrapText="1" readingOrder="1"/>
    </xf>
    <xf numFmtId="10" fontId="12" fillId="3" borderId="14" xfId="4" applyNumberFormat="1" applyFont="1" applyFill="1" applyBorder="1" applyAlignment="1">
      <alignment horizontal="center" vertical="center" wrapText="1" readingOrder="1"/>
    </xf>
    <xf numFmtId="10" fontId="12" fillId="3" borderId="13" xfId="4" applyNumberFormat="1" applyFont="1" applyFill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left" vertical="center" wrapText="1" readingOrder="1"/>
    </xf>
    <xf numFmtId="0" fontId="11" fillId="0" borderId="13" xfId="0" applyFont="1" applyBorder="1" applyAlignment="1">
      <alignment horizontal="left" vertical="center" wrapText="1" readingOrder="1"/>
    </xf>
    <xf numFmtId="10" fontId="12" fillId="0" borderId="14" xfId="4" applyNumberFormat="1" applyFont="1" applyBorder="1" applyAlignment="1">
      <alignment horizontal="center" vertical="center" wrapText="1" readingOrder="1"/>
    </xf>
    <xf numFmtId="10" fontId="12" fillId="0" borderId="2" xfId="4" applyNumberFormat="1" applyFont="1" applyBorder="1" applyAlignment="1">
      <alignment horizontal="center" vertical="center" wrapText="1" readingOrder="1"/>
    </xf>
    <xf numFmtId="10" fontId="12" fillId="0" borderId="13" xfId="4" applyNumberFormat="1" applyFont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vertical="center" wrapText="1" readingOrder="1"/>
    </xf>
    <xf numFmtId="0" fontId="11" fillId="3" borderId="13" xfId="0" applyFont="1" applyFill="1" applyBorder="1" applyAlignment="1">
      <alignment vertical="center" wrapText="1" readingOrder="1"/>
    </xf>
    <xf numFmtId="3" fontId="12" fillId="3" borderId="14" xfId="0" applyNumberFormat="1" applyFont="1" applyFill="1" applyBorder="1" applyAlignment="1">
      <alignment horizontal="center" vertical="center" wrapText="1" readingOrder="1"/>
    </xf>
    <xf numFmtId="3" fontId="12" fillId="3" borderId="13" xfId="0" applyNumberFormat="1" applyFont="1" applyFill="1" applyBorder="1" applyAlignment="1">
      <alignment horizontal="center" vertical="center" wrapText="1" readingOrder="1"/>
    </xf>
    <xf numFmtId="164" fontId="12" fillId="3" borderId="14" xfId="4" applyNumberFormat="1" applyFont="1" applyFill="1" applyBorder="1" applyAlignment="1">
      <alignment horizontal="center" vertical="center" wrapText="1" readingOrder="1"/>
    </xf>
    <xf numFmtId="164" fontId="12" fillId="3" borderId="13" xfId="4" applyNumberFormat="1" applyFont="1" applyFill="1" applyBorder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left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10" fontId="12" fillId="3" borderId="2" xfId="4" applyNumberFormat="1" applyFont="1" applyFill="1" applyBorder="1" applyAlignment="1">
      <alignment horizontal="center" vertical="center" wrapText="1" readingOrder="1"/>
    </xf>
    <xf numFmtId="3" fontId="12" fillId="0" borderId="14" xfId="0" applyNumberFormat="1" applyFont="1" applyBorder="1" applyAlignment="1">
      <alignment horizontal="center" vertical="center" wrapText="1" readingOrder="1"/>
    </xf>
    <xf numFmtId="3" fontId="12" fillId="0" borderId="13" xfId="0" applyNumberFormat="1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170" fontId="6" fillId="4" borderId="21" xfId="0" applyNumberFormat="1" applyFont="1" applyFill="1" applyBorder="1" applyAlignment="1">
      <alignment horizontal="center" vertical="center"/>
    </xf>
    <xf numFmtId="170" fontId="6" fillId="4" borderId="22" xfId="0" applyNumberFormat="1" applyFont="1" applyFill="1" applyBorder="1" applyAlignment="1">
      <alignment horizontal="center" vertical="center"/>
    </xf>
    <xf numFmtId="1" fontId="13" fillId="4" borderId="20" xfId="8" quotePrefix="1" applyNumberFormat="1" applyFont="1" applyFill="1" applyBorder="1" applyAlignment="1">
      <alignment horizontal="center" vertical="center" wrapText="1"/>
    </xf>
    <xf numFmtId="1" fontId="13" fillId="4" borderId="23" xfId="8" quotePrefix="1" applyNumberFormat="1" applyFont="1" applyFill="1" applyBorder="1" applyAlignment="1">
      <alignment horizontal="center" vertical="center" wrapText="1"/>
    </xf>
    <xf numFmtId="1" fontId="13" fillId="4" borderId="20" xfId="8" quotePrefix="1" applyNumberFormat="1" applyFont="1" applyFill="1" applyBorder="1" applyAlignment="1">
      <alignment horizontal="center" vertical="center"/>
    </xf>
    <xf numFmtId="1" fontId="13" fillId="4" borderId="23" xfId="8" quotePrefix="1" applyNumberFormat="1" applyFont="1" applyFill="1" applyBorder="1" applyAlignment="1">
      <alignment horizontal="center" vertical="center"/>
    </xf>
    <xf numFmtId="0" fontId="21" fillId="0" borderId="4" xfId="7" applyFont="1" applyBorder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0" fontId="21" fillId="0" borderId="9" xfId="7" applyFont="1" applyBorder="1" applyAlignment="1">
      <alignment horizontal="center" vertical="center" wrapText="1"/>
    </xf>
    <xf numFmtId="1" fontId="24" fillId="4" borderId="20" xfId="8" quotePrefix="1" applyNumberFormat="1" applyFont="1" applyFill="1" applyBorder="1" applyAlignment="1">
      <alignment horizontal="center" vertical="center" wrapText="1"/>
    </xf>
    <xf numFmtId="1" fontId="24" fillId="4" borderId="23" xfId="8" quotePrefix="1" applyNumberFormat="1" applyFont="1" applyFill="1" applyBorder="1" applyAlignment="1">
      <alignment horizontal="center" vertical="center" wrapText="1"/>
    </xf>
    <xf numFmtId="1" fontId="6" fillId="4" borderId="20" xfId="8" quotePrefix="1" applyNumberFormat="1" applyFont="1" applyFill="1" applyBorder="1" applyAlignment="1">
      <alignment horizontal="center" vertical="center" wrapText="1"/>
    </xf>
    <xf numFmtId="1" fontId="6" fillId="4" borderId="23" xfId="8" quotePrefix="1" applyNumberFormat="1" applyFont="1" applyFill="1" applyBorder="1" applyAlignment="1">
      <alignment horizontal="center" vertical="center" wrapText="1"/>
    </xf>
    <xf numFmtId="0" fontId="21" fillId="3" borderId="0" xfId="7" applyFont="1" applyFill="1" applyAlignment="1">
      <alignment horizontal="center" vertical="center" wrapText="1"/>
    </xf>
    <xf numFmtId="0" fontId="13" fillId="4" borderId="9" xfId="7" applyFont="1" applyFill="1" applyBorder="1" applyAlignment="1">
      <alignment horizontal="center" vertical="center" wrapText="1"/>
    </xf>
    <xf numFmtId="1" fontId="6" fillId="4" borderId="20" xfId="8" quotePrefix="1" applyNumberFormat="1" applyFont="1" applyFill="1" applyBorder="1" applyAlignment="1">
      <alignment horizontal="center" vertical="center"/>
    </xf>
    <xf numFmtId="1" fontId="6" fillId="4" borderId="23" xfId="8" quotePrefix="1" applyNumberFormat="1" applyFont="1" applyFill="1" applyBorder="1" applyAlignment="1">
      <alignment horizontal="center" vertical="center"/>
    </xf>
    <xf numFmtId="0" fontId="11" fillId="0" borderId="4" xfId="7" applyFont="1" applyBorder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1" fillId="3" borderId="0" xfId="7" applyFont="1" applyFill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1" fontId="28" fillId="4" borderId="20" xfId="8" quotePrefix="1" applyNumberFormat="1" applyFont="1" applyFill="1" applyBorder="1" applyAlignment="1">
      <alignment horizontal="center" vertical="center" wrapText="1"/>
    </xf>
    <xf numFmtId="1" fontId="28" fillId="4" borderId="23" xfId="8" quotePrefix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16" fillId="0" borderId="0" xfId="0" applyNumberFormat="1" applyFont="1" applyAlignment="1">
      <alignment vertical="center"/>
    </xf>
    <xf numFmtId="1" fontId="16" fillId="0" borderId="0" xfId="0" applyNumberFormat="1" applyFont="1"/>
    <xf numFmtId="0" fontId="3" fillId="0" borderId="0" xfId="0" applyNumberFormat="1" applyFont="1" applyAlignment="1">
      <alignment horizontal="center"/>
    </xf>
    <xf numFmtId="0" fontId="6" fillId="4" borderId="4" xfId="2" applyNumberFormat="1" applyFont="1" applyFill="1" applyBorder="1" applyAlignment="1">
      <alignment horizontal="center"/>
    </xf>
    <xf numFmtId="0" fontId="6" fillId="4" borderId="0" xfId="2" applyNumberFormat="1" applyFont="1" applyFill="1" applyAlignment="1">
      <alignment horizontal="center"/>
    </xf>
    <xf numFmtId="0" fontId="6" fillId="4" borderId="9" xfId="2" applyNumberFormat="1" applyFont="1" applyFill="1" applyBorder="1" applyAlignment="1">
      <alignment horizontal="center"/>
    </xf>
    <xf numFmtId="0" fontId="3" fillId="0" borderId="0" xfId="1" applyNumberFormat="1" applyFont="1" applyAlignment="1">
      <alignment horizontal="center"/>
    </xf>
    <xf numFmtId="0" fontId="9" fillId="0" borderId="1" xfId="4" applyNumberFormat="1" applyFont="1" applyBorder="1" applyAlignment="1">
      <alignment horizontal="center" vertical="center"/>
    </xf>
    <xf numFmtId="0" fontId="6" fillId="6" borderId="11" xfId="3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 readingOrder="1"/>
    </xf>
    <xf numFmtId="0" fontId="12" fillId="0" borderId="13" xfId="0" applyNumberFormat="1" applyFont="1" applyBorder="1" applyAlignment="1">
      <alignment horizontal="center" vertical="center" wrapText="1" readingOrder="1"/>
    </xf>
    <xf numFmtId="0" fontId="12" fillId="3" borderId="15" xfId="0" applyNumberFormat="1" applyFont="1" applyFill="1" applyBorder="1" applyAlignment="1">
      <alignment horizontal="center" vertical="center" wrapText="1" readingOrder="1"/>
    </xf>
    <xf numFmtId="0" fontId="12" fillId="0" borderId="15" xfId="0" applyNumberFormat="1" applyFont="1" applyBorder="1" applyAlignment="1">
      <alignment horizontal="center" vertical="center" wrapText="1" readingOrder="1"/>
    </xf>
    <xf numFmtId="0" fontId="12" fillId="0" borderId="14" xfId="0" applyNumberFormat="1" applyFont="1" applyBorder="1" applyAlignment="1">
      <alignment horizontal="center" vertical="center" wrapText="1" readingOrder="1"/>
    </xf>
    <xf numFmtId="0" fontId="12" fillId="0" borderId="2" xfId="0" applyNumberFormat="1" applyFont="1" applyBorder="1" applyAlignment="1">
      <alignment horizontal="center" vertical="center" wrapText="1" readingOrder="1"/>
    </xf>
    <xf numFmtId="0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3" xfId="0" applyNumberFormat="1" applyFont="1" applyFill="1" applyBorder="1" applyAlignment="1">
      <alignment horizontal="center" vertical="center" wrapText="1" readingOrder="1"/>
    </xf>
    <xf numFmtId="0" fontId="12" fillId="3" borderId="2" xfId="0" applyNumberFormat="1" applyFont="1" applyFill="1" applyBorder="1" applyAlignment="1">
      <alignment horizontal="center" vertical="center" wrapText="1" readingOrder="1"/>
    </xf>
    <xf numFmtId="0" fontId="14" fillId="4" borderId="0" xfId="0" applyNumberFormat="1" applyFont="1" applyFill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 readingOrder="1"/>
    </xf>
    <xf numFmtId="0" fontId="3" fillId="2" borderId="0" xfId="0" applyNumberFormat="1" applyFont="1" applyFill="1" applyAlignment="1">
      <alignment horizontal="center" vertical="center"/>
    </xf>
    <xf numFmtId="0" fontId="12" fillId="3" borderId="0" xfId="0" applyNumberFormat="1" applyFont="1" applyFill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 wrapText="1" readingOrder="1"/>
    </xf>
    <xf numFmtId="0" fontId="12" fillId="0" borderId="13" xfId="0" applyNumberFormat="1" applyFont="1" applyBorder="1" applyAlignment="1">
      <alignment horizontal="center" vertical="center" wrapText="1" readingOrder="1"/>
    </xf>
    <xf numFmtId="0" fontId="12" fillId="0" borderId="12" xfId="0" applyNumberFormat="1" applyFont="1" applyBorder="1" applyAlignment="1">
      <alignment horizontal="center" vertical="center" wrapText="1" readingOrder="1"/>
    </xf>
    <xf numFmtId="0" fontId="18" fillId="0" borderId="0" xfId="4" applyNumberFormat="1" applyFont="1" applyAlignment="1">
      <alignment horizontal="center"/>
    </xf>
    <xf numFmtId="3" fontId="12" fillId="2" borderId="0" xfId="7" applyNumberFormat="1" applyFont="1" applyFill="1"/>
    <xf numFmtId="168" fontId="3" fillId="2" borderId="0" xfId="7" applyNumberFormat="1" applyFont="1" applyFill="1" applyAlignment="1">
      <alignment vertical="top"/>
    </xf>
    <xf numFmtId="43" fontId="35" fillId="0" borderId="0" xfId="1" applyFont="1" applyFill="1" applyAlignment="1">
      <alignment horizontal="center" vertical="center"/>
    </xf>
    <xf numFmtId="0" fontId="3" fillId="0" borderId="0" xfId="0" applyNumberFormat="1" applyFont="1"/>
    <xf numFmtId="0" fontId="3" fillId="0" borderId="0" xfId="1" applyNumberFormat="1" applyFont="1"/>
    <xf numFmtId="0" fontId="9" fillId="0" borderId="1" xfId="0" applyNumberFormat="1" applyFont="1" applyBorder="1" applyAlignment="1">
      <alignment vertical="center"/>
    </xf>
    <xf numFmtId="0" fontId="3" fillId="2" borderId="0" xfId="7" applyNumberFormat="1" applyFont="1" applyFill="1"/>
    <xf numFmtId="0" fontId="6" fillId="4" borderId="20" xfId="8" quotePrefix="1" applyNumberFormat="1" applyFont="1" applyFill="1" applyBorder="1" applyAlignment="1">
      <alignment horizontal="center" vertical="center" wrapText="1"/>
    </xf>
    <xf numFmtId="0" fontId="6" fillId="4" borderId="23" xfId="8" quotePrefix="1" applyNumberFormat="1" applyFont="1" applyFill="1" applyBorder="1" applyAlignment="1">
      <alignment horizontal="center" vertical="center" wrapText="1"/>
    </xf>
    <xf numFmtId="0" fontId="23" fillId="3" borderId="26" xfId="7" applyNumberFormat="1" applyFont="1" applyFill="1" applyBorder="1" applyAlignment="1">
      <alignment horizontal="center" vertical="center"/>
    </xf>
    <xf numFmtId="0" fontId="23" fillId="3" borderId="27" xfId="7" applyNumberFormat="1" applyFont="1" applyFill="1" applyBorder="1" applyAlignment="1">
      <alignment horizontal="center" vertical="center"/>
    </xf>
    <xf numFmtId="0" fontId="23" fillId="3" borderId="28" xfId="7" applyNumberFormat="1" applyFont="1" applyFill="1" applyBorder="1" applyAlignment="1">
      <alignment horizontal="center" vertical="center"/>
    </xf>
    <xf numFmtId="0" fontId="23" fillId="2" borderId="29" xfId="7" applyNumberFormat="1" applyFont="1" applyFill="1" applyBorder="1" applyAlignment="1">
      <alignment horizontal="center" vertical="center"/>
    </xf>
    <xf numFmtId="0" fontId="23" fillId="2" borderId="30" xfId="7" applyNumberFormat="1" applyFont="1" applyFill="1" applyBorder="1" applyAlignment="1">
      <alignment horizontal="center" vertical="center"/>
    </xf>
    <xf numFmtId="0" fontId="23" fillId="2" borderId="31" xfId="7" applyNumberFormat="1" applyFont="1" applyFill="1" applyBorder="1" applyAlignment="1">
      <alignment horizontal="center" vertical="center"/>
    </xf>
    <xf numFmtId="0" fontId="23" fillId="3" borderId="32" xfId="7" applyNumberFormat="1" applyFont="1" applyFill="1" applyBorder="1" applyAlignment="1">
      <alignment horizontal="center" vertical="center"/>
    </xf>
    <xf numFmtId="0" fontId="23" fillId="3" borderId="0" xfId="7" applyNumberFormat="1" applyFont="1" applyFill="1" applyAlignment="1">
      <alignment horizontal="center" vertical="center"/>
    </xf>
    <xf numFmtId="0" fontId="23" fillId="3" borderId="33" xfId="7" applyNumberFormat="1" applyFont="1" applyFill="1" applyBorder="1" applyAlignment="1">
      <alignment horizontal="center" vertical="center"/>
    </xf>
    <xf numFmtId="0" fontId="13" fillId="4" borderId="9" xfId="7" applyNumberFormat="1" applyFont="1" applyFill="1" applyBorder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0" fontId="3" fillId="2" borderId="0" xfId="7" applyNumberFormat="1" applyFont="1" applyFill="1" applyAlignment="1">
      <alignment vertical="top"/>
    </xf>
  </cellXfs>
  <cellStyles count="10">
    <cellStyle name="_x000d__x000a_JournalTemplate=C:\COMFO\CTALK\JOURSTD.TPL_x000d__x000a_LbStateAddress=3 3 0 251 1 89 2 311_x000d__x000a_LbStateJou" xfId="2" xr:uid="{744E14DB-4E36-40B1-B835-205BD4E85746}"/>
    <cellStyle name="Normal" xfId="0" builtinId="0"/>
    <cellStyle name="Normal 133" xfId="3" xr:uid="{3E15F65E-A51B-4DF7-9765-E70D325F7360}"/>
    <cellStyle name="Normal 2 2" xfId="8" xr:uid="{3E7359DC-C056-4380-8587-40AE9A9D5FEA}"/>
    <cellStyle name="Normal 82 4 2" xfId="7" xr:uid="{B643F8F2-0CC7-4807-B222-25711067DCEF}"/>
    <cellStyle name="Normal 83" xfId="5" xr:uid="{F73BF958-7E46-489E-8287-5A0F14B05DC5}"/>
    <cellStyle name="Normal 83 2" xfId="6" xr:uid="{C4A51B29-0F0B-44B6-8C5D-88D95D8FB28D}"/>
    <cellStyle name="Porcentagem" xfId="4" builtinId="5"/>
    <cellStyle name="Porcentagem 2" xfId="9" xr:uid="{DB397E5C-2FCB-48A5-BEAD-C35DFC78D75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10.%20DIVULGA&#199;&#213;ES%20TRIMESTRAIS/2026/1T26/BASE/Base_Projetos_1T26.xlsx" TargetMode="External"/><Relationship Id="rId2" Type="http://schemas.openxmlformats.org/officeDocument/2006/relationships/externalLinkPath" Target="file:///Z:\NOVA%20REDE\10.%20DIVULGA&#199;&#213;ES%20TRIMESTRAIS\2026\1T26\BASE\Base_Projetos_1T26.xlsx" TargetMode="External"/><Relationship Id="rId1" Type="http://schemas.openxmlformats.org/officeDocument/2006/relationships/externalLinkPath" Target="/NOVA%20REDE/10.%20DIVULGA&#199;&#213;ES%20TRIMESTRAIS/2026/1T26/BASE/Base_Projetos_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Concessões"/>
      <sheetName val="Concessions"/>
      <sheetName val="Concessões (tabela site)"/>
      <sheetName val="Concessions (tabela site)"/>
      <sheetName val="Empresas"/>
      <sheetName val="Companies"/>
      <sheetName val="Capacidade Instalada"/>
      <sheetName val="Installed Capacity"/>
      <sheetName val="Auxiliar"/>
      <sheetName val="Concessões (ex-rbse)"/>
      <sheetName val="Greenfield (análise)"/>
      <sheetName val="Crescimento"/>
      <sheetName val="Growth"/>
      <sheetName val="Greenfield PTBR"/>
      <sheetName val="Greenfield ENG"/>
      <sheetName val="Construção"/>
      <sheetName val="Construction"/>
      <sheetName val="Concluídos"/>
      <sheetName val="Tabela Q&amp;A"/>
      <sheetName val="Avanço Físico"/>
      <sheetName val="CapEx Greenfield"/>
      <sheetName val="Investimentos"/>
      <sheetName val="Recorde"/>
      <sheetName val="Projeção CapEx Bruno"/>
      <sheetName val="R&amp;M - Análise"/>
      <sheetName val="Projeção CapEx"/>
      <sheetName val="Inflação"/>
      <sheetName val="Projeção CapEx (Teste)"/>
      <sheetName val="Custo Construção"/>
      <sheetName val="R&amp;M"/>
      <sheetName val="Projetos Energizados"/>
      <sheetName val="R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19C6-75A2-441D-9F07-B7F4A80E7246}">
  <sheetPr>
    <tabColor theme="8" tint="0.39997558519241921"/>
  </sheetPr>
  <dimension ref="A1:X57"/>
  <sheetViews>
    <sheetView showGridLines="0" zoomScale="55" zoomScaleNormal="55" workbookViewId="0">
      <pane xSplit="4" ySplit="10" topLeftCell="E11" activePane="bottomRight" state="frozen"/>
      <selection activeCell="G30" sqref="G30"/>
      <selection pane="topRight" activeCell="G30" sqref="G30"/>
      <selection pane="bottomLeft" activeCell="G30" sqref="G30"/>
      <selection pane="bottomRight" activeCell="H14" sqref="H14:H15"/>
    </sheetView>
  </sheetViews>
  <sheetFormatPr defaultColWidth="8.7265625" defaultRowHeight="0" customHeight="1" zeroHeight="1" outlineLevelCol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7" style="23" customWidth="1"/>
    <col min="5" max="5" width="22.453125" style="23" customWidth="1"/>
    <col min="6" max="6" width="11.54296875" style="23" customWidth="1"/>
    <col min="7" max="7" width="20.7265625" style="23" customWidth="1"/>
    <col min="8" max="8" width="19.453125" style="23" bestFit="1" customWidth="1"/>
    <col min="9" max="9" width="12.54296875" style="23" hidden="1" customWidth="1"/>
    <col min="10" max="10" width="23.7265625" style="23" bestFit="1" customWidth="1" outlineLevel="1"/>
    <col min="11" max="11" width="16.453125" style="23" customWidth="1"/>
    <col min="12" max="12" width="12.54296875" style="23" customWidth="1"/>
    <col min="13" max="13" width="30.54296875" style="23" customWidth="1"/>
    <col min="14" max="14" width="26.453125" style="79" customWidth="1"/>
    <col min="15" max="15" width="24.453125" style="79" customWidth="1"/>
    <col min="16" max="19" width="14.453125" style="79" customWidth="1"/>
    <col min="20" max="20" width="15.453125" style="81" customWidth="1"/>
    <col min="21" max="21" width="19.453125" style="81" customWidth="1"/>
    <col min="22" max="22" width="17.453125" style="2" customWidth="1"/>
    <col min="23" max="28" width="8.7265625" style="1" customWidth="1"/>
    <col min="29" max="16384" width="8.7265625" style="1"/>
  </cols>
  <sheetData>
    <row r="1" spans="1:24" ht="3.65" customHeight="1" thickBot="1" x14ac:dyDescent="0.4">
      <c r="A1" s="1"/>
      <c r="B1" s="1"/>
      <c r="C1" s="1"/>
      <c r="D1" s="2"/>
      <c r="E1" s="2"/>
      <c r="F1" s="2"/>
      <c r="G1" s="2"/>
      <c r="H1" s="1"/>
      <c r="I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8" customFormat="1" ht="15.5" x14ac:dyDescent="0.35">
      <c r="A2" s="3"/>
      <c r="B2" s="461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3" spans="1:24" s="8" customFormat="1" ht="15.5" x14ac:dyDescent="0.35">
      <c r="A3" s="3"/>
      <c r="B3" s="462"/>
      <c r="C3" s="9" t="s">
        <v>0</v>
      </c>
      <c r="D3" s="10">
        <v>46112</v>
      </c>
      <c r="E3" s="9"/>
      <c r="F3" s="9"/>
      <c r="G3" s="11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2"/>
    </row>
    <row r="4" spans="1:24" s="8" customFormat="1" ht="15.5" x14ac:dyDescent="0.35">
      <c r="A4" s="3"/>
      <c r="B4" s="462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 s="8" customFormat="1" ht="16" thickBot="1" x14ac:dyDescent="0.4">
      <c r="A5" s="3"/>
      <c r="B5" s="463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</row>
    <row r="6" spans="1:24" ht="5.9" customHeight="1" x14ac:dyDescent="0.35">
      <c r="A6" s="1"/>
      <c r="B6" s="1"/>
      <c r="C6" s="1"/>
      <c r="D6" s="2"/>
      <c r="E6" s="2"/>
      <c r="F6" s="2"/>
      <c r="G6" s="2"/>
      <c r="H6" s="1"/>
      <c r="I6" s="2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3" customHeight="1" x14ac:dyDescent="0.35">
      <c r="A7" s="1"/>
      <c r="B7" s="1"/>
      <c r="C7" s="1"/>
      <c r="D7" s="2"/>
      <c r="E7" s="2"/>
      <c r="F7" s="2"/>
      <c r="G7" s="2"/>
      <c r="H7" s="1"/>
      <c r="I7" s="2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5.5" x14ac:dyDescent="0.35">
      <c r="A8" s="1"/>
      <c r="B8" s="20" t="s">
        <v>3</v>
      </c>
      <c r="C8" s="21"/>
      <c r="D8" s="22"/>
      <c r="E8" s="22"/>
      <c r="F8" s="22"/>
      <c r="G8" s="22"/>
      <c r="H8" s="21"/>
      <c r="I8" s="22"/>
      <c r="J8" s="21"/>
      <c r="K8" s="125">
        <f>K11/K45</f>
        <v>0.55652668052094478</v>
      </c>
      <c r="L8" s="126">
        <f>(SUMIF(H:H,"Operacional",K:K)-K11)/K45</f>
        <v>0.35404058795759613</v>
      </c>
      <c r="M8" s="126">
        <f>100%-(L8+K8)</f>
        <v>8.9432731521459141E-2</v>
      </c>
      <c r="N8" s="22"/>
      <c r="O8" s="22"/>
      <c r="P8" s="22"/>
      <c r="Q8" s="22"/>
      <c r="R8" s="22"/>
      <c r="S8" s="22"/>
      <c r="T8" s="22"/>
      <c r="U8" s="22"/>
      <c r="V8" s="22"/>
    </row>
    <row r="9" spans="1:24" ht="5.9" customHeight="1" x14ac:dyDescent="0.35">
      <c r="A9" s="1"/>
      <c r="B9" s="1"/>
      <c r="C9" s="1"/>
      <c r="D9" s="2"/>
      <c r="E9" s="2"/>
      <c r="F9" s="2"/>
      <c r="G9" s="2"/>
      <c r="H9" s="1"/>
      <c r="I9" s="2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4" ht="92.25" customHeight="1" thickBot="1" x14ac:dyDescent="0.4">
      <c r="A10" s="23"/>
      <c r="B10" s="24" t="s">
        <v>4</v>
      </c>
      <c r="C10" s="24" t="s">
        <v>5</v>
      </c>
      <c r="D10" s="25" t="s">
        <v>6</v>
      </c>
      <c r="E10" s="25" t="s">
        <v>105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165</v>
      </c>
      <c r="K10" s="25" t="s">
        <v>164</v>
      </c>
      <c r="L10" s="25" t="s">
        <v>11</v>
      </c>
      <c r="M10" s="25" t="s">
        <v>138</v>
      </c>
      <c r="N10" s="25" t="s">
        <v>12</v>
      </c>
      <c r="O10" s="25" t="s">
        <v>118</v>
      </c>
      <c r="P10" s="25" t="s">
        <v>130</v>
      </c>
      <c r="Q10" s="25" t="s">
        <v>131</v>
      </c>
      <c r="R10" s="25" t="s">
        <v>132</v>
      </c>
      <c r="S10" s="25" t="s">
        <v>133</v>
      </c>
      <c r="T10" s="25" t="s">
        <v>13</v>
      </c>
      <c r="U10" s="25" t="s">
        <v>14</v>
      </c>
      <c r="V10" s="25" t="s">
        <v>15</v>
      </c>
    </row>
    <row r="11" spans="1:24" s="106" customFormat="1" ht="16" thickBot="1" x14ac:dyDescent="0.4">
      <c r="A11" s="26"/>
      <c r="B11" s="464" t="s">
        <v>139</v>
      </c>
      <c r="C11" s="27" t="s">
        <v>16</v>
      </c>
      <c r="D11" s="27" t="s">
        <v>137</v>
      </c>
      <c r="E11" s="27" t="s">
        <v>109</v>
      </c>
      <c r="F11" s="465">
        <v>30</v>
      </c>
      <c r="G11" s="28">
        <v>52231</v>
      </c>
      <c r="H11" s="27" t="s">
        <v>17</v>
      </c>
      <c r="I11" s="27">
        <v>2028</v>
      </c>
      <c r="J11" s="29">
        <v>3546.9335194000651</v>
      </c>
      <c r="K11" s="29">
        <f t="shared" ref="K11:K32" si="0">J11</f>
        <v>3546.9335194000651</v>
      </c>
      <c r="L11" s="465" t="s">
        <v>18</v>
      </c>
      <c r="M11" s="468">
        <v>1</v>
      </c>
      <c r="N11" s="465" t="s">
        <v>19</v>
      </c>
      <c r="O11" s="465" t="s">
        <v>106</v>
      </c>
      <c r="P11" s="469">
        <f>IF(O11="Lucro Real",9.25%,3.65%)</f>
        <v>9.2499999999999999E-2</v>
      </c>
      <c r="Q11" s="96" t="s">
        <v>134</v>
      </c>
      <c r="R11" s="97" t="s">
        <v>134</v>
      </c>
      <c r="S11" s="98" t="s">
        <v>134</v>
      </c>
      <c r="T11" s="30">
        <v>14617.53</v>
      </c>
      <c r="U11" s="30">
        <v>50180.93</v>
      </c>
      <c r="V11" s="30">
        <v>109</v>
      </c>
      <c r="W11" s="118"/>
    </row>
    <row r="12" spans="1:24" s="106" customFormat="1" ht="16.5" customHeight="1" thickBot="1" x14ac:dyDescent="0.4">
      <c r="A12" s="26"/>
      <c r="B12" s="464"/>
      <c r="C12" s="31" t="s">
        <v>20</v>
      </c>
      <c r="D12" s="31" t="s">
        <v>21</v>
      </c>
      <c r="E12" s="31" t="s">
        <v>120</v>
      </c>
      <c r="F12" s="466"/>
      <c r="G12" s="32">
        <v>55792</v>
      </c>
      <c r="H12" s="27" t="s">
        <v>17</v>
      </c>
      <c r="I12" s="31">
        <v>2028</v>
      </c>
      <c r="J12" s="33">
        <v>343.10103999980538</v>
      </c>
      <c r="K12" s="33">
        <f t="shared" si="0"/>
        <v>343.10103999980538</v>
      </c>
      <c r="L12" s="466"/>
      <c r="M12" s="466"/>
      <c r="N12" s="466"/>
      <c r="O12" s="466"/>
      <c r="P12" s="470"/>
      <c r="Q12" s="455">
        <v>0.84</v>
      </c>
      <c r="R12" s="97" t="s">
        <v>134</v>
      </c>
      <c r="S12" s="98" t="s">
        <v>134</v>
      </c>
      <c r="T12" s="34">
        <v>936.2</v>
      </c>
      <c r="U12" s="34">
        <v>2250</v>
      </c>
      <c r="V12" s="34">
        <v>2</v>
      </c>
      <c r="W12" s="119"/>
    </row>
    <row r="13" spans="1:24" s="106" customFormat="1" ht="16.5" customHeight="1" x14ac:dyDescent="0.35">
      <c r="A13" s="26"/>
      <c r="B13" s="464"/>
      <c r="C13" s="31" t="s">
        <v>23</v>
      </c>
      <c r="D13" s="31" t="s">
        <v>24</v>
      </c>
      <c r="E13" s="31" t="s">
        <v>109</v>
      </c>
      <c r="F13" s="466"/>
      <c r="G13" s="32">
        <v>53652</v>
      </c>
      <c r="H13" s="31" t="s">
        <v>17</v>
      </c>
      <c r="I13" s="31">
        <v>2027</v>
      </c>
      <c r="J13" s="33">
        <v>234.84007329413399</v>
      </c>
      <c r="K13" s="33">
        <f t="shared" si="0"/>
        <v>234.84007329413399</v>
      </c>
      <c r="L13" s="466"/>
      <c r="M13" s="466"/>
      <c r="N13" s="466"/>
      <c r="O13" s="466"/>
      <c r="P13" s="470"/>
      <c r="Q13" s="455" t="s">
        <v>134</v>
      </c>
      <c r="R13" s="97" t="s">
        <v>134</v>
      </c>
      <c r="S13" s="98" t="s">
        <v>134</v>
      </c>
      <c r="T13" s="34">
        <v>15</v>
      </c>
      <c r="U13" s="34" t="s">
        <v>25</v>
      </c>
      <c r="V13" s="34" t="s">
        <v>25</v>
      </c>
      <c r="W13" s="118"/>
    </row>
    <row r="14" spans="1:24" s="106" customFormat="1" ht="17" customHeight="1" x14ac:dyDescent="0.35">
      <c r="A14" s="26"/>
      <c r="B14" s="464"/>
      <c r="C14" s="31" t="s">
        <v>123</v>
      </c>
      <c r="D14" s="31" t="s">
        <v>124</v>
      </c>
      <c r="E14" s="31" t="s">
        <v>125</v>
      </c>
      <c r="F14" s="466"/>
      <c r="G14" s="32">
        <v>56156</v>
      </c>
      <c r="H14" s="31" t="s">
        <v>22</v>
      </c>
      <c r="I14" s="31">
        <v>2029</v>
      </c>
      <c r="J14" s="33">
        <v>321.80777299039528</v>
      </c>
      <c r="K14" s="33">
        <f t="shared" si="0"/>
        <v>321.80777299039528</v>
      </c>
      <c r="L14" s="466"/>
      <c r="M14" s="466"/>
      <c r="N14" s="466"/>
      <c r="O14" s="466"/>
      <c r="P14" s="470"/>
      <c r="Q14" s="455">
        <v>1</v>
      </c>
      <c r="R14" s="100" t="s">
        <v>135</v>
      </c>
      <c r="S14" s="100" t="s">
        <v>135</v>
      </c>
      <c r="T14" s="34">
        <v>1116</v>
      </c>
      <c r="U14" s="34">
        <v>200</v>
      </c>
      <c r="V14" s="34">
        <v>3</v>
      </c>
      <c r="W14" s="119"/>
    </row>
    <row r="15" spans="1:24" s="106" customFormat="1" ht="17" customHeight="1" thickBot="1" x14ac:dyDescent="0.4">
      <c r="A15" s="26"/>
      <c r="B15" s="464"/>
      <c r="C15" s="35" t="s">
        <v>126</v>
      </c>
      <c r="D15" s="35" t="s">
        <v>121</v>
      </c>
      <c r="E15" s="35" t="s">
        <v>119</v>
      </c>
      <c r="F15" s="467"/>
      <c r="G15" s="36">
        <v>56156</v>
      </c>
      <c r="H15" s="35" t="s">
        <v>22</v>
      </c>
      <c r="I15" s="35">
        <v>2029</v>
      </c>
      <c r="J15" s="37">
        <v>248.17739441979884</v>
      </c>
      <c r="K15" s="37">
        <f t="shared" si="0"/>
        <v>248.17739441979884</v>
      </c>
      <c r="L15" s="467"/>
      <c r="M15" s="467"/>
      <c r="N15" s="467"/>
      <c r="O15" s="467"/>
      <c r="P15" s="471"/>
      <c r="Q15" s="456">
        <v>0.15</v>
      </c>
      <c r="R15" s="100" t="s">
        <v>135</v>
      </c>
      <c r="S15" s="100" t="s">
        <v>135</v>
      </c>
      <c r="T15" s="38">
        <v>522</v>
      </c>
      <c r="U15" s="38">
        <v>0</v>
      </c>
      <c r="V15" s="38">
        <v>1</v>
      </c>
    </row>
    <row r="16" spans="1:24" ht="17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55">
        <v>30</v>
      </c>
      <c r="G16" s="56">
        <v>53915</v>
      </c>
      <c r="H16" s="55" t="s">
        <v>17</v>
      </c>
      <c r="I16" s="55">
        <v>2028</v>
      </c>
      <c r="J16" s="57">
        <v>83.236966918462116</v>
      </c>
      <c r="K16" s="57">
        <f>J16</f>
        <v>83.236966918462116</v>
      </c>
      <c r="L16" s="55" t="s">
        <v>18</v>
      </c>
      <c r="M16" s="58">
        <v>1</v>
      </c>
      <c r="N16" s="55" t="s">
        <v>19</v>
      </c>
      <c r="O16" s="55" t="s">
        <v>106</v>
      </c>
      <c r="P16" s="103">
        <f t="shared" ref="P16:P19" si="1">IF(O16="Lucro Real",9.25%,3.65%)</f>
        <v>9.2499999999999999E-2</v>
      </c>
      <c r="Q16" s="103" t="s">
        <v>134</v>
      </c>
      <c r="R16" s="103" t="s">
        <v>134</v>
      </c>
      <c r="S16" s="103" t="s">
        <v>134</v>
      </c>
      <c r="T16" s="59" t="s">
        <v>25</v>
      </c>
      <c r="U16" s="59">
        <v>1400</v>
      </c>
      <c r="V16" s="59">
        <v>2</v>
      </c>
    </row>
    <row r="17" spans="1:22" ht="17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50">
        <v>30</v>
      </c>
      <c r="G17" s="51">
        <v>55243</v>
      </c>
      <c r="H17" s="50" t="s">
        <v>17</v>
      </c>
      <c r="I17" s="50">
        <v>2025</v>
      </c>
      <c r="J17" s="52">
        <v>93.110359205539737</v>
      </c>
      <c r="K17" s="52">
        <f t="shared" si="0"/>
        <v>93.110359205539737</v>
      </c>
      <c r="L17" s="50" t="s">
        <v>18</v>
      </c>
      <c r="M17" s="60">
        <v>1</v>
      </c>
      <c r="N17" s="50" t="s">
        <v>19</v>
      </c>
      <c r="O17" s="50" t="s">
        <v>106</v>
      </c>
      <c r="P17" s="102">
        <f t="shared" si="1"/>
        <v>9.2499999999999999E-2</v>
      </c>
      <c r="Q17" s="102" t="s">
        <v>134</v>
      </c>
      <c r="R17" s="102" t="s">
        <v>134</v>
      </c>
      <c r="S17" s="102" t="s">
        <v>134</v>
      </c>
      <c r="T17" s="53">
        <v>30.22</v>
      </c>
      <c r="U17" s="53">
        <v>800</v>
      </c>
      <c r="V17" s="53">
        <v>1</v>
      </c>
    </row>
    <row r="18" spans="1:22" ht="17" customHeight="1" thickBot="1" x14ac:dyDescent="0.4">
      <c r="A18" s="26"/>
      <c r="B18" s="54" t="s">
        <v>44</v>
      </c>
      <c r="C18" s="55" t="s">
        <v>45</v>
      </c>
      <c r="D18" s="55" t="s">
        <v>46</v>
      </c>
      <c r="E18" s="55" t="s">
        <v>113</v>
      </c>
      <c r="F18" s="55">
        <v>30</v>
      </c>
      <c r="G18" s="56">
        <v>54867</v>
      </c>
      <c r="H18" s="55" t="s">
        <v>17</v>
      </c>
      <c r="I18" s="55">
        <v>2025</v>
      </c>
      <c r="J18" s="57">
        <v>52.959984550000016</v>
      </c>
      <c r="K18" s="57">
        <f t="shared" si="0"/>
        <v>52.959984550000016</v>
      </c>
      <c r="L18" s="55" t="s">
        <v>18</v>
      </c>
      <c r="M18" s="58">
        <v>1</v>
      </c>
      <c r="N18" s="55" t="s">
        <v>19</v>
      </c>
      <c r="O18" s="55" t="s">
        <v>110</v>
      </c>
      <c r="P18" s="103">
        <f t="shared" si="1"/>
        <v>3.6499999999999998E-2</v>
      </c>
      <c r="Q18" s="103" t="s">
        <v>134</v>
      </c>
      <c r="R18" s="103" t="s">
        <v>134</v>
      </c>
      <c r="S18" s="103" t="s">
        <v>134</v>
      </c>
      <c r="T18" s="59">
        <v>77.11</v>
      </c>
      <c r="U18" s="59">
        <v>2691</v>
      </c>
      <c r="V18" s="59">
        <v>1</v>
      </c>
    </row>
    <row r="19" spans="1:22" ht="17" customHeight="1" x14ac:dyDescent="0.35">
      <c r="A19" s="39"/>
      <c r="B19" s="472" t="s">
        <v>49</v>
      </c>
      <c r="C19" s="129" t="s">
        <v>50</v>
      </c>
      <c r="D19" s="129" t="s">
        <v>51</v>
      </c>
      <c r="E19" s="129" t="s">
        <v>114</v>
      </c>
      <c r="F19" s="474">
        <v>30</v>
      </c>
      <c r="G19" s="67">
        <v>54867</v>
      </c>
      <c r="H19" s="66" t="s">
        <v>17</v>
      </c>
      <c r="I19" s="66">
        <v>2025</v>
      </c>
      <c r="J19" s="68">
        <v>46.140901050000011</v>
      </c>
      <c r="K19" s="68">
        <f>J19</f>
        <v>46.140901050000011</v>
      </c>
      <c r="L19" s="474" t="s">
        <v>18</v>
      </c>
      <c r="M19" s="475">
        <v>1</v>
      </c>
      <c r="N19" s="474" t="s">
        <v>19</v>
      </c>
      <c r="O19" s="474" t="s">
        <v>110</v>
      </c>
      <c r="P19" s="476">
        <f t="shared" si="1"/>
        <v>3.6499999999999998E-2</v>
      </c>
      <c r="Q19" s="476" t="s">
        <v>134</v>
      </c>
      <c r="R19" s="476" t="s">
        <v>134</v>
      </c>
      <c r="S19" s="476" t="s">
        <v>134</v>
      </c>
      <c r="T19" s="69">
        <v>158.21000000000029</v>
      </c>
      <c r="U19" s="69">
        <v>1600</v>
      </c>
      <c r="V19" s="69">
        <v>3</v>
      </c>
    </row>
    <row r="20" spans="1:22" ht="17" customHeight="1" thickBot="1" x14ac:dyDescent="0.4">
      <c r="A20" s="39"/>
      <c r="B20" s="473"/>
      <c r="C20" s="35" t="s">
        <v>52</v>
      </c>
      <c r="D20" s="35" t="str">
        <f>B19</f>
        <v>IEMG</v>
      </c>
      <c r="E20" s="35" t="s">
        <v>114</v>
      </c>
      <c r="F20" s="467"/>
      <c r="G20" s="36">
        <v>50153</v>
      </c>
      <c r="H20" s="35" t="s">
        <v>17</v>
      </c>
      <c r="I20" s="35" t="s">
        <v>47</v>
      </c>
      <c r="J20" s="37">
        <v>15.430810056724884</v>
      </c>
      <c r="K20" s="37">
        <f t="shared" si="0"/>
        <v>15.430810056724884</v>
      </c>
      <c r="L20" s="467"/>
      <c r="M20" s="467"/>
      <c r="N20" s="467"/>
      <c r="O20" s="467"/>
      <c r="P20" s="477"/>
      <c r="Q20" s="477"/>
      <c r="R20" s="477"/>
      <c r="S20" s="477"/>
      <c r="T20" s="38">
        <v>173.03</v>
      </c>
      <c r="U20" s="38" t="s">
        <v>25</v>
      </c>
      <c r="V20" s="38" t="s">
        <v>25</v>
      </c>
    </row>
    <row r="21" spans="1:22" ht="17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55">
        <v>30</v>
      </c>
      <c r="G21" s="56">
        <v>53733</v>
      </c>
      <c r="H21" s="55" t="s">
        <v>17</v>
      </c>
      <c r="I21" s="55">
        <v>2027</v>
      </c>
      <c r="J21" s="57">
        <v>72.109375825255484</v>
      </c>
      <c r="K21" s="57">
        <f t="shared" si="0"/>
        <v>72.109375825255484</v>
      </c>
      <c r="L21" s="55" t="s">
        <v>18</v>
      </c>
      <c r="M21" s="58">
        <v>1</v>
      </c>
      <c r="N21" s="55" t="s">
        <v>19</v>
      </c>
      <c r="O21" s="55" t="s">
        <v>110</v>
      </c>
      <c r="P21" s="103">
        <f t="shared" ref="P21:P27" si="2">IF(O21="Lucro Real",9.25%,3.65%)</f>
        <v>3.6499999999999998E-2</v>
      </c>
      <c r="Q21" s="103" t="s">
        <v>134</v>
      </c>
      <c r="R21" s="103" t="s">
        <v>134</v>
      </c>
      <c r="S21" s="103" t="s">
        <v>134</v>
      </c>
      <c r="T21" s="59">
        <v>77.03</v>
      </c>
      <c r="U21" s="59">
        <v>1350</v>
      </c>
      <c r="V21" s="59">
        <v>1</v>
      </c>
    </row>
    <row r="22" spans="1:22" ht="17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31">
        <v>30</v>
      </c>
      <c r="G22" s="32">
        <v>53915</v>
      </c>
      <c r="H22" s="31" t="s">
        <v>17</v>
      </c>
      <c r="I22" s="31">
        <v>2028</v>
      </c>
      <c r="J22" s="33">
        <v>70.794383704919042</v>
      </c>
      <c r="K22" s="33">
        <f t="shared" si="0"/>
        <v>70.794383704919042</v>
      </c>
      <c r="L22" s="31" t="s">
        <v>18</v>
      </c>
      <c r="M22" s="71">
        <v>1</v>
      </c>
      <c r="N22" s="31" t="s">
        <v>19</v>
      </c>
      <c r="O22" s="31" t="s">
        <v>110</v>
      </c>
      <c r="P22" s="100">
        <f t="shared" si="2"/>
        <v>3.6499999999999998E-2</v>
      </c>
      <c r="Q22" s="100" t="s">
        <v>134</v>
      </c>
      <c r="R22" s="100" t="s">
        <v>134</v>
      </c>
      <c r="S22" s="100" t="s">
        <v>134</v>
      </c>
      <c r="T22" s="34" t="s">
        <v>25</v>
      </c>
      <c r="U22" s="34">
        <v>900</v>
      </c>
      <c r="V22" s="34" t="s">
        <v>25</v>
      </c>
    </row>
    <row r="23" spans="1:22" ht="17" customHeight="1" thickBot="1" x14ac:dyDescent="0.4">
      <c r="A23" s="39"/>
      <c r="B23" s="54" t="s">
        <v>62</v>
      </c>
      <c r="C23" s="55" t="s">
        <v>63</v>
      </c>
      <c r="D23" s="55" t="str">
        <f>B23</f>
        <v>IENNE</v>
      </c>
      <c r="E23" s="55" t="s">
        <v>115</v>
      </c>
      <c r="F23" s="55">
        <v>30</v>
      </c>
      <c r="G23" s="56">
        <v>50480</v>
      </c>
      <c r="H23" s="55" t="s">
        <v>17</v>
      </c>
      <c r="I23" s="55">
        <v>2028</v>
      </c>
      <c r="J23" s="57">
        <v>71.392523093207842</v>
      </c>
      <c r="K23" s="57">
        <f t="shared" si="0"/>
        <v>71.392523093207842</v>
      </c>
      <c r="L23" s="55" t="s">
        <v>18</v>
      </c>
      <c r="M23" s="58">
        <v>1</v>
      </c>
      <c r="N23" s="55" t="s">
        <v>19</v>
      </c>
      <c r="O23" s="55" t="s">
        <v>110</v>
      </c>
      <c r="P23" s="103">
        <f t="shared" si="2"/>
        <v>3.6499999999999998E-2</v>
      </c>
      <c r="Q23" s="103" t="s">
        <v>134</v>
      </c>
      <c r="R23" s="103" t="s">
        <v>134</v>
      </c>
      <c r="S23" s="103" t="s">
        <v>134</v>
      </c>
      <c r="T23" s="59">
        <v>710.87</v>
      </c>
      <c r="U23" s="59" t="s">
        <v>25</v>
      </c>
      <c r="V23" s="59" t="s">
        <v>25</v>
      </c>
    </row>
    <row r="24" spans="1:22" ht="17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50">
        <v>30</v>
      </c>
      <c r="G24" s="51">
        <v>51092</v>
      </c>
      <c r="H24" s="50" t="s">
        <v>17</v>
      </c>
      <c r="I24" s="50">
        <v>2025</v>
      </c>
      <c r="J24" s="52">
        <v>62.43698092135655</v>
      </c>
      <c r="K24" s="52">
        <f t="shared" si="0"/>
        <v>62.43698092135655</v>
      </c>
      <c r="L24" s="50" t="s">
        <v>18</v>
      </c>
      <c r="M24" s="60">
        <v>1</v>
      </c>
      <c r="N24" s="50" t="s">
        <v>19</v>
      </c>
      <c r="O24" s="50" t="s">
        <v>110</v>
      </c>
      <c r="P24" s="102">
        <f t="shared" si="2"/>
        <v>3.6499999999999998E-2</v>
      </c>
      <c r="Q24" s="102" t="s">
        <v>134</v>
      </c>
      <c r="R24" s="102" t="s">
        <v>134</v>
      </c>
      <c r="S24" s="102" t="s">
        <v>134</v>
      </c>
      <c r="T24" s="53" t="s">
        <v>25</v>
      </c>
      <c r="U24" s="53">
        <v>2000</v>
      </c>
      <c r="V24" s="53">
        <v>2</v>
      </c>
    </row>
    <row r="25" spans="1:22" ht="17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55">
        <v>30</v>
      </c>
      <c r="G25" s="56">
        <v>50693</v>
      </c>
      <c r="H25" s="55" t="s">
        <v>17</v>
      </c>
      <c r="I25" s="55" t="s">
        <v>47</v>
      </c>
      <c r="J25" s="57">
        <v>77.298775904999019</v>
      </c>
      <c r="K25" s="57">
        <f t="shared" si="0"/>
        <v>77.298775904999019</v>
      </c>
      <c r="L25" s="55" t="s">
        <v>18</v>
      </c>
      <c r="M25" s="58">
        <v>1</v>
      </c>
      <c r="N25" s="55" t="s">
        <v>19</v>
      </c>
      <c r="O25" s="55" t="s">
        <v>110</v>
      </c>
      <c r="P25" s="103">
        <f t="shared" si="2"/>
        <v>3.6499999999999998E-2</v>
      </c>
      <c r="Q25" s="103" t="s">
        <v>134</v>
      </c>
      <c r="R25" s="103" t="s">
        <v>134</v>
      </c>
      <c r="S25" s="103" t="s">
        <v>134</v>
      </c>
      <c r="T25" s="59" t="s">
        <v>25</v>
      </c>
      <c r="U25" s="59">
        <v>2400</v>
      </c>
      <c r="V25" s="59">
        <v>3</v>
      </c>
    </row>
    <row r="26" spans="1:22" ht="17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50">
        <v>30</v>
      </c>
      <c r="G26" s="51">
        <v>54321</v>
      </c>
      <c r="H26" s="50" t="s">
        <v>17</v>
      </c>
      <c r="I26" s="50">
        <v>2029</v>
      </c>
      <c r="J26" s="52">
        <v>56.287888230804604</v>
      </c>
      <c r="K26" s="52">
        <f t="shared" si="0"/>
        <v>56.287888230804604</v>
      </c>
      <c r="L26" s="50" t="s">
        <v>18</v>
      </c>
      <c r="M26" s="60">
        <v>1</v>
      </c>
      <c r="N26" s="50" t="s">
        <v>19</v>
      </c>
      <c r="O26" s="50" t="s">
        <v>110</v>
      </c>
      <c r="P26" s="102">
        <f t="shared" si="2"/>
        <v>3.6499999999999998E-2</v>
      </c>
      <c r="Q26" s="102" t="s">
        <v>134</v>
      </c>
      <c r="R26" s="102" t="s">
        <v>134</v>
      </c>
      <c r="S26" s="102" t="s">
        <v>134</v>
      </c>
      <c r="T26" s="53">
        <v>38.14</v>
      </c>
      <c r="U26" s="53">
        <v>300</v>
      </c>
      <c r="V26" s="53">
        <v>1</v>
      </c>
    </row>
    <row r="27" spans="1:22" ht="17" customHeight="1" x14ac:dyDescent="0.35">
      <c r="A27" s="26"/>
      <c r="B27" s="478" t="s">
        <v>75</v>
      </c>
      <c r="C27" s="40" t="s">
        <v>76</v>
      </c>
      <c r="D27" s="40" t="s">
        <v>77</v>
      </c>
      <c r="E27" s="40" t="s">
        <v>109</v>
      </c>
      <c r="F27" s="480">
        <v>30</v>
      </c>
      <c r="G27" s="42">
        <v>48202</v>
      </c>
      <c r="H27" s="40" t="s">
        <v>17</v>
      </c>
      <c r="I27" s="40" t="s">
        <v>47</v>
      </c>
      <c r="J27" s="43">
        <v>20.643534548997234</v>
      </c>
      <c r="K27" s="43">
        <f t="shared" si="0"/>
        <v>20.643534548997234</v>
      </c>
      <c r="L27" s="40" t="s">
        <v>48</v>
      </c>
      <c r="M27" s="482">
        <v>1</v>
      </c>
      <c r="N27" s="480" t="s">
        <v>19</v>
      </c>
      <c r="O27" s="480" t="s">
        <v>110</v>
      </c>
      <c r="P27" s="483">
        <f t="shared" si="2"/>
        <v>3.6499999999999998E-2</v>
      </c>
      <c r="Q27" s="483" t="s">
        <v>134</v>
      </c>
      <c r="R27" s="483" t="s">
        <v>134</v>
      </c>
      <c r="S27" s="483" t="s">
        <v>134</v>
      </c>
      <c r="T27" s="44">
        <v>137.30000000000001</v>
      </c>
      <c r="U27" s="44" t="s">
        <v>25</v>
      </c>
      <c r="V27" s="44" t="s">
        <v>25</v>
      </c>
    </row>
    <row r="28" spans="1:22" ht="17" customHeight="1" thickBot="1" x14ac:dyDescent="0.4">
      <c r="A28" s="26"/>
      <c r="B28" s="479"/>
      <c r="C28" s="45" t="s">
        <v>78</v>
      </c>
      <c r="D28" s="45" t="s">
        <v>79</v>
      </c>
      <c r="E28" s="45" t="s">
        <v>109</v>
      </c>
      <c r="F28" s="481"/>
      <c r="G28" s="46">
        <v>53915</v>
      </c>
      <c r="H28" s="45" t="s">
        <v>17</v>
      </c>
      <c r="I28" s="45">
        <v>2028</v>
      </c>
      <c r="J28" s="47">
        <v>16.151413423689903</v>
      </c>
      <c r="K28" s="47">
        <f t="shared" si="0"/>
        <v>16.151413423689903</v>
      </c>
      <c r="L28" s="45" t="s">
        <v>18</v>
      </c>
      <c r="M28" s="481"/>
      <c r="N28" s="481"/>
      <c r="O28" s="481"/>
      <c r="P28" s="484"/>
      <c r="Q28" s="484"/>
      <c r="R28" s="484"/>
      <c r="S28" s="484"/>
      <c r="T28" s="48" t="s">
        <v>25</v>
      </c>
      <c r="U28" s="48">
        <v>250</v>
      </c>
      <c r="V28" s="48" t="s">
        <v>25</v>
      </c>
    </row>
    <row r="29" spans="1:22" ht="17" customHeight="1" x14ac:dyDescent="0.35">
      <c r="A29" s="26"/>
      <c r="B29" s="485" t="s">
        <v>80</v>
      </c>
      <c r="C29" s="66" t="s">
        <v>81</v>
      </c>
      <c r="D29" s="66" t="s">
        <v>82</v>
      </c>
      <c r="E29" s="66" t="s">
        <v>109</v>
      </c>
      <c r="F29" s="474">
        <v>30</v>
      </c>
      <c r="G29" s="67">
        <v>55792</v>
      </c>
      <c r="H29" s="31" t="s">
        <v>17</v>
      </c>
      <c r="I29" s="66">
        <v>2028</v>
      </c>
      <c r="J29" s="68">
        <v>16.129841075719565</v>
      </c>
      <c r="K29" s="68">
        <f t="shared" si="0"/>
        <v>16.129841075719565</v>
      </c>
      <c r="L29" s="66" t="s">
        <v>18</v>
      </c>
      <c r="M29" s="475">
        <v>1</v>
      </c>
      <c r="N29" s="474" t="s">
        <v>19</v>
      </c>
      <c r="O29" s="474" t="s">
        <v>110</v>
      </c>
      <c r="P29" s="476">
        <f>IF(O29="Lucro Real",9.25%,3.65%)</f>
        <v>3.6499999999999998E-2</v>
      </c>
      <c r="Q29" s="476" t="s">
        <v>134</v>
      </c>
      <c r="R29" s="476" t="s">
        <v>134</v>
      </c>
      <c r="S29" s="476" t="s">
        <v>134</v>
      </c>
      <c r="T29" s="69" t="s">
        <v>25</v>
      </c>
      <c r="U29" s="69">
        <v>600</v>
      </c>
      <c r="V29" s="69" t="s">
        <v>25</v>
      </c>
    </row>
    <row r="30" spans="1:22" ht="17" customHeight="1" thickBot="1" x14ac:dyDescent="0.4">
      <c r="A30" s="26"/>
      <c r="B30" s="486"/>
      <c r="C30" s="35" t="s">
        <v>83</v>
      </c>
      <c r="D30" s="35" t="s">
        <v>84</v>
      </c>
      <c r="E30" s="35" t="s">
        <v>109</v>
      </c>
      <c r="F30" s="467"/>
      <c r="G30" s="36">
        <v>50693</v>
      </c>
      <c r="H30" s="35" t="s">
        <v>17</v>
      </c>
      <c r="I30" s="35" t="s">
        <v>47</v>
      </c>
      <c r="J30" s="37">
        <v>16.039714209697415</v>
      </c>
      <c r="K30" s="37">
        <f t="shared" si="0"/>
        <v>16.039714209697415</v>
      </c>
      <c r="L30" s="35" t="s">
        <v>18</v>
      </c>
      <c r="M30" s="467"/>
      <c r="N30" s="467"/>
      <c r="O30" s="467"/>
      <c r="P30" s="477"/>
      <c r="Q30" s="477"/>
      <c r="R30" s="477"/>
      <c r="S30" s="477"/>
      <c r="T30" s="38">
        <v>0.72</v>
      </c>
      <c r="U30" s="38">
        <v>1200</v>
      </c>
      <c r="V30" s="38">
        <v>1</v>
      </c>
    </row>
    <row r="31" spans="1:22" ht="17" customHeight="1" x14ac:dyDescent="0.35">
      <c r="A31" s="26"/>
      <c r="B31" s="485" t="s">
        <v>85</v>
      </c>
      <c r="C31" s="66" t="s">
        <v>86</v>
      </c>
      <c r="D31" s="66" t="s">
        <v>87</v>
      </c>
      <c r="E31" s="66" t="s">
        <v>109</v>
      </c>
      <c r="F31" s="474">
        <v>30</v>
      </c>
      <c r="G31" s="67">
        <v>53915</v>
      </c>
      <c r="H31" s="66" t="s">
        <v>17</v>
      </c>
      <c r="I31" s="66">
        <v>2028</v>
      </c>
      <c r="J31" s="68">
        <v>23.670081096464052</v>
      </c>
      <c r="K31" s="68">
        <f t="shared" si="0"/>
        <v>23.670081096464052</v>
      </c>
      <c r="L31" s="474" t="s">
        <v>18</v>
      </c>
      <c r="M31" s="475">
        <v>1</v>
      </c>
      <c r="N31" s="474" t="s">
        <v>19</v>
      </c>
      <c r="O31" s="474" t="s">
        <v>110</v>
      </c>
      <c r="P31" s="487">
        <f>IF(O31="Lucro Real",9.25%,3.65%)</f>
        <v>3.6499999999999998E-2</v>
      </c>
      <c r="Q31" s="487" t="s">
        <v>134</v>
      </c>
      <c r="R31" s="487" t="s">
        <v>134</v>
      </c>
      <c r="S31" s="487" t="s">
        <v>134</v>
      </c>
      <c r="T31" s="69">
        <v>17</v>
      </c>
      <c r="U31" s="69">
        <v>500</v>
      </c>
      <c r="V31" s="69" t="s">
        <v>25</v>
      </c>
    </row>
    <row r="32" spans="1:22" ht="17" customHeight="1" x14ac:dyDescent="0.35">
      <c r="A32" s="26"/>
      <c r="B32" s="464"/>
      <c r="C32" s="31" t="s">
        <v>88</v>
      </c>
      <c r="D32" s="31" t="s">
        <v>89</v>
      </c>
      <c r="E32" s="31" t="s">
        <v>117</v>
      </c>
      <c r="F32" s="466"/>
      <c r="G32" s="32">
        <v>54867</v>
      </c>
      <c r="H32" s="31" t="s">
        <v>17</v>
      </c>
      <c r="I32" s="31">
        <v>2025</v>
      </c>
      <c r="J32" s="33">
        <v>7.45860083</v>
      </c>
      <c r="K32" s="33">
        <f t="shared" si="0"/>
        <v>7.45860083</v>
      </c>
      <c r="L32" s="466"/>
      <c r="M32" s="466"/>
      <c r="N32" s="466"/>
      <c r="O32" s="466"/>
      <c r="P32" s="488"/>
      <c r="Q32" s="488"/>
      <c r="R32" s="488"/>
      <c r="S32" s="488"/>
      <c r="T32" s="34">
        <v>37</v>
      </c>
      <c r="U32" s="34" t="s">
        <v>25</v>
      </c>
      <c r="V32" s="34" t="s">
        <v>25</v>
      </c>
    </row>
    <row r="33" spans="1:22" ht="17" customHeight="1" thickBot="1" x14ac:dyDescent="0.4">
      <c r="A33" s="26"/>
      <c r="B33" s="486"/>
      <c r="C33" s="35" t="s">
        <v>129</v>
      </c>
      <c r="D33" s="35" t="s">
        <v>180</v>
      </c>
      <c r="E33" s="35" t="s">
        <v>114</v>
      </c>
      <c r="F33" s="467"/>
      <c r="G33" s="36">
        <v>56156</v>
      </c>
      <c r="H33" s="31" t="s">
        <v>17</v>
      </c>
      <c r="I33" s="35">
        <v>2029</v>
      </c>
      <c r="J33" s="37">
        <v>8.4597039392108826</v>
      </c>
      <c r="K33" s="37">
        <f>J33</f>
        <v>8.4597039392108826</v>
      </c>
      <c r="L33" s="467"/>
      <c r="M33" s="467"/>
      <c r="N33" s="467"/>
      <c r="O33" s="467"/>
      <c r="P33" s="489">
        <f t="shared" ref="P33" si="3">IF(K33="Lucro Real",9.25%,3.65%)</f>
        <v>3.6499999999999998E-2</v>
      </c>
      <c r="Q33" s="489" t="s">
        <v>134</v>
      </c>
      <c r="R33" s="489" t="s">
        <v>134</v>
      </c>
      <c r="S33" s="489" t="s">
        <v>134</v>
      </c>
      <c r="T33" s="38">
        <v>0</v>
      </c>
      <c r="U33" s="38">
        <v>400</v>
      </c>
      <c r="V33" s="38" t="s">
        <v>25</v>
      </c>
    </row>
    <row r="34" spans="1:22" ht="17" customHeight="1" x14ac:dyDescent="0.35">
      <c r="A34" s="26"/>
      <c r="B34" s="490" t="s">
        <v>90</v>
      </c>
      <c r="C34" s="40" t="s">
        <v>91</v>
      </c>
      <c r="D34" s="40" t="s">
        <v>92</v>
      </c>
      <c r="E34" s="40" t="s">
        <v>116</v>
      </c>
      <c r="F34" s="480">
        <v>30</v>
      </c>
      <c r="G34" s="42">
        <v>50693</v>
      </c>
      <c r="H34" s="40" t="s">
        <v>17</v>
      </c>
      <c r="I34" s="480" t="s">
        <v>47</v>
      </c>
      <c r="J34" s="43">
        <v>20.445175829766303</v>
      </c>
      <c r="K34" s="43">
        <f>J34</f>
        <v>20.445175829766303</v>
      </c>
      <c r="L34" s="480" t="s">
        <v>18</v>
      </c>
      <c r="M34" s="482">
        <v>1</v>
      </c>
      <c r="N34" s="480" t="s">
        <v>19</v>
      </c>
      <c r="O34" s="480" t="s">
        <v>110</v>
      </c>
      <c r="P34" s="483">
        <f>IF(O34="Lucro Real",9.25%,3.65%)</f>
        <v>3.6499999999999998E-2</v>
      </c>
      <c r="Q34" s="483" t="s">
        <v>134</v>
      </c>
      <c r="R34" s="483" t="s">
        <v>134</v>
      </c>
      <c r="S34" s="483" t="s">
        <v>134</v>
      </c>
      <c r="T34" s="492">
        <v>178.66</v>
      </c>
      <c r="U34" s="492">
        <v>900</v>
      </c>
      <c r="V34" s="492">
        <v>2</v>
      </c>
    </row>
    <row r="35" spans="1:22" ht="17" customHeight="1" thickBot="1" x14ac:dyDescent="0.4">
      <c r="A35" s="26"/>
      <c r="B35" s="491"/>
      <c r="C35" s="45" t="s">
        <v>93</v>
      </c>
      <c r="D35" s="45" t="s">
        <v>94</v>
      </c>
      <c r="E35" s="45" t="s">
        <v>113</v>
      </c>
      <c r="F35" s="481"/>
      <c r="G35" s="46">
        <v>50693</v>
      </c>
      <c r="H35" s="45" t="s">
        <v>17</v>
      </c>
      <c r="I35" s="481"/>
      <c r="J35" s="47">
        <v>8.7842146564553882</v>
      </c>
      <c r="K35" s="47">
        <f>J35</f>
        <v>8.7842146564553882</v>
      </c>
      <c r="L35" s="481"/>
      <c r="M35" s="481"/>
      <c r="N35" s="481"/>
      <c r="O35" s="481"/>
      <c r="P35" s="484">
        <f t="shared" ref="P35:P37" si="4">IF(K35="Lucro Real",9.25%,3.65%)</f>
        <v>3.6499999999999998E-2</v>
      </c>
      <c r="Q35" s="484"/>
      <c r="R35" s="484"/>
      <c r="S35" s="484"/>
      <c r="T35" s="493"/>
      <c r="U35" s="493"/>
      <c r="V35" s="493"/>
    </row>
    <row r="36" spans="1:22" ht="17" customHeight="1" x14ac:dyDescent="0.35">
      <c r="A36" s="26"/>
      <c r="B36" s="472" t="s">
        <v>95</v>
      </c>
      <c r="C36" s="66" t="s">
        <v>96</v>
      </c>
      <c r="D36" s="66" t="s">
        <v>97</v>
      </c>
      <c r="E36" s="66" t="s">
        <v>109</v>
      </c>
      <c r="F36" s="474">
        <v>30</v>
      </c>
      <c r="G36" s="67">
        <v>54322</v>
      </c>
      <c r="H36" s="66" t="s">
        <v>17</v>
      </c>
      <c r="I36" s="66">
        <v>2029</v>
      </c>
      <c r="J36" s="68">
        <v>18.289274528771983</v>
      </c>
      <c r="K36" s="68">
        <f t="shared" ref="K36:K38" si="5">J36</f>
        <v>18.289274528771983</v>
      </c>
      <c r="L36" s="474" t="s">
        <v>18</v>
      </c>
      <c r="M36" s="475">
        <v>1</v>
      </c>
      <c r="N36" s="474" t="s">
        <v>19</v>
      </c>
      <c r="O36" s="474" t="s">
        <v>110</v>
      </c>
      <c r="P36" s="487">
        <f>IF(O36="Lucro Real",9.25%,3.65%)</f>
        <v>3.6499999999999998E-2</v>
      </c>
      <c r="Q36" s="487" t="s">
        <v>134</v>
      </c>
      <c r="R36" s="487" t="s">
        <v>134</v>
      </c>
      <c r="S36" s="487" t="s">
        <v>134</v>
      </c>
      <c r="T36" s="69" t="s">
        <v>25</v>
      </c>
      <c r="U36" s="69">
        <v>1200</v>
      </c>
      <c r="V36" s="69">
        <v>1</v>
      </c>
    </row>
    <row r="37" spans="1:22" ht="17" customHeight="1" thickBot="1" x14ac:dyDescent="0.4">
      <c r="A37" s="26"/>
      <c r="B37" s="473"/>
      <c r="C37" s="35" t="s">
        <v>98</v>
      </c>
      <c r="D37" s="35" t="s">
        <v>99</v>
      </c>
      <c r="E37" s="35" t="s">
        <v>109</v>
      </c>
      <c r="F37" s="467"/>
      <c r="G37" s="36">
        <v>51844</v>
      </c>
      <c r="H37" s="35" t="s">
        <v>17</v>
      </c>
      <c r="I37" s="35">
        <v>2027</v>
      </c>
      <c r="J37" s="37">
        <v>9.2375544098375642</v>
      </c>
      <c r="K37" s="37">
        <f t="shared" si="5"/>
        <v>9.2375544098375642</v>
      </c>
      <c r="L37" s="467"/>
      <c r="M37" s="467"/>
      <c r="N37" s="467"/>
      <c r="O37" s="467"/>
      <c r="P37" s="489">
        <f t="shared" si="4"/>
        <v>3.6499999999999998E-2</v>
      </c>
      <c r="Q37" s="489"/>
      <c r="R37" s="489"/>
      <c r="S37" s="489"/>
      <c r="T37" s="38" t="s">
        <v>25</v>
      </c>
      <c r="U37" s="38">
        <v>800</v>
      </c>
      <c r="V37" s="38" t="s">
        <v>25</v>
      </c>
    </row>
    <row r="38" spans="1:22" ht="17" customHeight="1" thickBot="1" x14ac:dyDescent="0.4">
      <c r="A38" s="26"/>
      <c r="B38" s="73" t="s">
        <v>100</v>
      </c>
      <c r="C38" s="55" t="s">
        <v>101</v>
      </c>
      <c r="D38" s="55" t="s">
        <v>102</v>
      </c>
      <c r="E38" s="55" t="s">
        <v>109</v>
      </c>
      <c r="F38" s="55">
        <v>30</v>
      </c>
      <c r="G38" s="56">
        <v>50693</v>
      </c>
      <c r="H38" s="55" t="s">
        <v>17</v>
      </c>
      <c r="I38" s="55" t="s">
        <v>47</v>
      </c>
      <c r="J38" s="57">
        <v>8.5566029522407838</v>
      </c>
      <c r="K38" s="57">
        <f t="shared" si="5"/>
        <v>8.5566029522407838</v>
      </c>
      <c r="L38" s="55" t="s">
        <v>18</v>
      </c>
      <c r="M38" s="58">
        <v>1</v>
      </c>
      <c r="N38" s="55" t="s">
        <v>19</v>
      </c>
      <c r="O38" s="55" t="s">
        <v>110</v>
      </c>
      <c r="P38" s="103">
        <f>IF(O38="Lucro Real",9.25%,3.65%)</f>
        <v>3.6499999999999998E-2</v>
      </c>
      <c r="Q38" s="103" t="s">
        <v>134</v>
      </c>
      <c r="R38" s="103" t="s">
        <v>134</v>
      </c>
      <c r="S38" s="103" t="s">
        <v>134</v>
      </c>
      <c r="T38" s="59" t="s">
        <v>25</v>
      </c>
      <c r="U38" s="59">
        <v>400</v>
      </c>
      <c r="V38" s="59">
        <v>1</v>
      </c>
    </row>
    <row r="39" spans="1:22" ht="17" customHeight="1" x14ac:dyDescent="0.35">
      <c r="A39" s="39"/>
      <c r="B39" s="490" t="s">
        <v>26</v>
      </c>
      <c r="C39" s="40" t="s">
        <v>27</v>
      </c>
      <c r="D39" s="41" t="s">
        <v>28</v>
      </c>
      <c r="E39" s="480" t="s">
        <v>333</v>
      </c>
      <c r="F39" s="480">
        <v>30</v>
      </c>
      <c r="G39" s="42">
        <v>50826</v>
      </c>
      <c r="H39" s="40" t="s">
        <v>17</v>
      </c>
      <c r="I39" s="480" t="s">
        <v>47</v>
      </c>
      <c r="J39" s="43">
        <v>408.3661035365073</v>
      </c>
      <c r="K39" s="43">
        <f>J39*51%</f>
        <v>208.26671280361873</v>
      </c>
      <c r="L39" s="480" t="s">
        <v>18</v>
      </c>
      <c r="M39" s="480" t="s">
        <v>140</v>
      </c>
      <c r="N39" s="480" t="s">
        <v>29</v>
      </c>
      <c r="O39" s="480" t="s">
        <v>106</v>
      </c>
      <c r="P39" s="483">
        <f>IF(O39="Lucro Real",9.25%,3.65%)</f>
        <v>9.2499999999999999E-2</v>
      </c>
      <c r="Q39" s="483">
        <v>0.60171607949953698</v>
      </c>
      <c r="R39" s="494">
        <v>45292</v>
      </c>
      <c r="S39" s="494">
        <v>48914</v>
      </c>
      <c r="T39" s="492">
        <v>2385</v>
      </c>
      <c r="U39" s="492">
        <v>7464</v>
      </c>
      <c r="V39" s="492" t="s">
        <v>25</v>
      </c>
    </row>
    <row r="40" spans="1:22" ht="17" customHeight="1" thickBot="1" x14ac:dyDescent="0.4">
      <c r="A40" s="39"/>
      <c r="B40" s="491"/>
      <c r="C40" s="45" t="s">
        <v>30</v>
      </c>
      <c r="D40" s="45" t="s">
        <v>31</v>
      </c>
      <c r="E40" s="481"/>
      <c r="F40" s="481"/>
      <c r="G40" s="46">
        <v>50826</v>
      </c>
      <c r="H40" s="45" t="s">
        <v>17</v>
      </c>
      <c r="I40" s="481"/>
      <c r="J40" s="47">
        <v>352.35557108627575</v>
      </c>
      <c r="K40" s="47">
        <f>J40*51%</f>
        <v>179.70134125400062</v>
      </c>
      <c r="L40" s="481"/>
      <c r="M40" s="481"/>
      <c r="N40" s="481"/>
      <c r="O40" s="481"/>
      <c r="P40" s="484"/>
      <c r="Q40" s="484"/>
      <c r="R40" s="495"/>
      <c r="S40" s="495"/>
      <c r="T40" s="493"/>
      <c r="U40" s="493"/>
      <c r="V40" s="493"/>
    </row>
    <row r="41" spans="1:22" ht="17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50">
        <v>30</v>
      </c>
      <c r="G41" s="51">
        <v>53915</v>
      </c>
      <c r="H41" s="50" t="s">
        <v>17</v>
      </c>
      <c r="I41" s="50">
        <v>2028</v>
      </c>
      <c r="J41" s="52">
        <v>398.73023730158116</v>
      </c>
      <c r="K41" s="52">
        <f>J41*50%</f>
        <v>199.36511865079058</v>
      </c>
      <c r="L41" s="50" t="s">
        <v>18</v>
      </c>
      <c r="M41" s="50" t="s">
        <v>127</v>
      </c>
      <c r="N41" s="50" t="s">
        <v>29</v>
      </c>
      <c r="O41" s="50" t="s">
        <v>106</v>
      </c>
      <c r="P41" s="102">
        <f>IF(O41="Lucro Real",9.25%,3.65%)</f>
        <v>9.2499999999999999E-2</v>
      </c>
      <c r="Q41" s="102" t="s">
        <v>134</v>
      </c>
      <c r="R41" s="102" t="s">
        <v>134</v>
      </c>
      <c r="S41" s="102" t="s">
        <v>134</v>
      </c>
      <c r="T41" s="53">
        <v>593.07000000000005</v>
      </c>
      <c r="U41" s="53">
        <v>2988</v>
      </c>
      <c r="V41" s="53">
        <v>1</v>
      </c>
    </row>
    <row r="42" spans="1:22" ht="17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62">
        <v>30</v>
      </c>
      <c r="G42" s="63">
        <v>53733</v>
      </c>
      <c r="H42" s="62" t="s">
        <v>17</v>
      </c>
      <c r="I42" s="62">
        <v>2027</v>
      </c>
      <c r="J42" s="64">
        <v>108.78473229920459</v>
      </c>
      <c r="K42" s="64">
        <f>J42*50%</f>
        <v>54.392366149602296</v>
      </c>
      <c r="L42" s="62" t="s">
        <v>18</v>
      </c>
      <c r="M42" s="62" t="s">
        <v>127</v>
      </c>
      <c r="N42" s="62" t="s">
        <v>29</v>
      </c>
      <c r="O42" s="62" t="s">
        <v>106</v>
      </c>
      <c r="P42" s="104">
        <f>IF(O42="Lucro Real",9.25%,3.65%)</f>
        <v>9.2499999999999999E-2</v>
      </c>
      <c r="Q42" s="104">
        <v>1</v>
      </c>
      <c r="R42" s="105">
        <f>DATE(YEAR(S42)-9,1,1)</f>
        <v>44927</v>
      </c>
      <c r="S42" s="105">
        <v>48549</v>
      </c>
      <c r="T42" s="65">
        <v>208</v>
      </c>
      <c r="U42" s="65" t="s">
        <v>25</v>
      </c>
      <c r="V42" s="65" t="s">
        <v>25</v>
      </c>
    </row>
    <row r="43" spans="1:22" ht="17" customHeight="1" thickBot="1" x14ac:dyDescent="0.4">
      <c r="A43" s="39"/>
      <c r="B43" s="49" t="s">
        <v>56</v>
      </c>
      <c r="C43" s="50" t="s">
        <v>57</v>
      </c>
      <c r="D43" s="50" t="s">
        <v>58</v>
      </c>
      <c r="E43" s="50" t="s">
        <v>136</v>
      </c>
      <c r="F43" s="50">
        <v>30</v>
      </c>
      <c r="G43" s="51">
        <v>51844</v>
      </c>
      <c r="H43" s="50" t="s">
        <v>17</v>
      </c>
      <c r="I43" s="50">
        <v>2027</v>
      </c>
      <c r="J43" s="52">
        <v>157.85681581753673</v>
      </c>
      <c r="K43" s="52">
        <f>J43*51%</f>
        <v>80.506976066943736</v>
      </c>
      <c r="L43" s="50" t="s">
        <v>18</v>
      </c>
      <c r="M43" s="50" t="s">
        <v>128</v>
      </c>
      <c r="N43" s="50" t="s">
        <v>29</v>
      </c>
      <c r="O43" s="50" t="s">
        <v>106</v>
      </c>
      <c r="P43" s="130">
        <f>IF(O43="Lucro Real",9.25%,3.65%)</f>
        <v>9.2499999999999999E-2</v>
      </c>
      <c r="Q43" s="130">
        <v>1</v>
      </c>
      <c r="R43" s="131">
        <f>DATE(YEAR(S43)-9,1,1)</f>
        <v>42370</v>
      </c>
      <c r="S43" s="131">
        <v>45992</v>
      </c>
      <c r="T43" s="53">
        <v>633</v>
      </c>
      <c r="U43" s="53">
        <v>2100</v>
      </c>
      <c r="V43" s="53">
        <v>2</v>
      </c>
    </row>
    <row r="44" spans="1:22" ht="17" customHeight="1" thickBot="1" x14ac:dyDescent="0.4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62">
        <v>30</v>
      </c>
      <c r="G44" s="63">
        <v>53733</v>
      </c>
      <c r="H44" s="62" t="s">
        <v>17</v>
      </c>
      <c r="I44" s="62">
        <v>2027</v>
      </c>
      <c r="J44" s="64">
        <v>162.36520481872631</v>
      </c>
      <c r="K44" s="64">
        <f>J44*50%</f>
        <v>81.182602409363156</v>
      </c>
      <c r="L44" s="62" t="s">
        <v>18</v>
      </c>
      <c r="M44" s="62" t="s">
        <v>127</v>
      </c>
      <c r="N44" s="62" t="s">
        <v>29</v>
      </c>
      <c r="O44" s="62" t="s">
        <v>106</v>
      </c>
      <c r="P44" s="104">
        <f>IF(O44="Lucro Real",9.25%,3.65%)</f>
        <v>9.2499999999999999E-2</v>
      </c>
      <c r="Q44" s="104">
        <v>1</v>
      </c>
      <c r="R44" s="105">
        <f>DATE(YEAR(S44)-9,1,1)</f>
        <v>44927</v>
      </c>
      <c r="S44" s="105">
        <v>48549</v>
      </c>
      <c r="T44" s="65">
        <v>338</v>
      </c>
      <c r="U44" s="65" t="s">
        <v>25</v>
      </c>
      <c r="V44" s="65" t="s">
        <v>25</v>
      </c>
    </row>
    <row r="45" spans="1:22" ht="24" customHeight="1" x14ac:dyDescent="0.35">
      <c r="A45" s="74"/>
      <c r="B45" s="75" t="s">
        <v>319</v>
      </c>
      <c r="C45" s="496" t="str">
        <f>"Total ("&amp;COUNTA(C11:C44)&amp;")"</f>
        <v>Total (34)</v>
      </c>
      <c r="D45" s="496"/>
      <c r="E45" s="496"/>
      <c r="F45" s="496"/>
      <c r="G45" s="108"/>
      <c r="H45" s="77"/>
      <c r="I45" s="77"/>
      <c r="J45" s="78">
        <f>SUM(J11:J44)</f>
        <v>7158.3831259261506</v>
      </c>
      <c r="K45" s="78">
        <f>SUM(K11:K44)</f>
        <v>6373.3395784006389</v>
      </c>
      <c r="L45" s="77"/>
      <c r="M45" s="77"/>
      <c r="N45" s="77"/>
      <c r="O45" s="77"/>
      <c r="P45" s="77"/>
      <c r="Q45" s="77"/>
      <c r="R45" s="77"/>
      <c r="S45" s="77"/>
      <c r="T45" s="78">
        <f>SUM(T11:T44)</f>
        <v>22999.09</v>
      </c>
      <c r="U45" s="78">
        <f>SUM(U11:U44)</f>
        <v>84873.93</v>
      </c>
      <c r="V45" s="78">
        <f t="shared" ref="V45" si="6">SUM(V11:V44)</f>
        <v>137</v>
      </c>
    </row>
    <row r="46" spans="1:22" ht="15.5" x14ac:dyDescent="0.35">
      <c r="A46" s="23"/>
      <c r="B46" s="124"/>
      <c r="C46" s="79" t="s">
        <v>166</v>
      </c>
      <c r="E46" s="79"/>
      <c r="F46" s="79"/>
      <c r="G46" s="79"/>
      <c r="H46" s="79"/>
      <c r="I46" s="127"/>
      <c r="J46" s="128">
        <v>0</v>
      </c>
      <c r="K46" s="128">
        <v>0</v>
      </c>
      <c r="L46" s="79"/>
      <c r="M46" s="79"/>
      <c r="T46" s="445">
        <v>0</v>
      </c>
      <c r="U46" s="445">
        <v>0</v>
      </c>
      <c r="V46" s="445">
        <v>0</v>
      </c>
    </row>
    <row r="47" spans="1:22" ht="14.9" customHeight="1" x14ac:dyDescent="0.35">
      <c r="A47" s="23"/>
      <c r="B47" s="80"/>
      <c r="V47" s="23"/>
    </row>
    <row r="48" spans="1:22" ht="14.9" customHeight="1" x14ac:dyDescent="0.35">
      <c r="A48" s="1"/>
      <c r="K48" s="93"/>
    </row>
    <row r="49" spans="1:22" ht="14.9" customHeight="1" x14ac:dyDescent="0.35">
      <c r="A49" s="1"/>
      <c r="B49" s="83" t="s">
        <v>17</v>
      </c>
      <c r="C49" s="84"/>
      <c r="D49" s="84"/>
      <c r="E49" s="84"/>
      <c r="F49" s="84"/>
      <c r="G49" s="84"/>
      <c r="H49" s="84"/>
      <c r="I49" s="84"/>
      <c r="J49" s="84"/>
      <c r="K49" s="94">
        <f>SUMIF($H$11:$H$44,$B49,K$11:K$44)</f>
        <v>5803.3544109904451</v>
      </c>
      <c r="L49" s="120">
        <f>K49/K51</f>
        <v>0.91056726847854086</v>
      </c>
      <c r="M49" s="84"/>
      <c r="N49" s="84"/>
      <c r="O49" s="84"/>
      <c r="P49" s="84"/>
      <c r="Q49" s="84"/>
      <c r="R49" s="84"/>
      <c r="S49" s="84"/>
      <c r="T49" s="85">
        <f t="shared" ref="T49:V50" si="7">SUMIF($H$11:$H$44,$B49,T$11:T$44)</f>
        <v>21361.090000000004</v>
      </c>
      <c r="U49" s="85">
        <f t="shared" si="7"/>
        <v>84673.93</v>
      </c>
      <c r="V49" s="85">
        <f t="shared" si="7"/>
        <v>133</v>
      </c>
    </row>
    <row r="50" spans="1:22" ht="14.9" customHeight="1" x14ac:dyDescent="0.35">
      <c r="A50" s="1"/>
      <c r="B50" s="83" t="s">
        <v>22</v>
      </c>
      <c r="C50" s="84"/>
      <c r="D50" s="84"/>
      <c r="E50" s="84"/>
      <c r="F50" s="84"/>
      <c r="G50" s="84"/>
      <c r="H50" s="84"/>
      <c r="I50" s="84"/>
      <c r="J50" s="84"/>
      <c r="K50" s="94">
        <f>SUMIF($H$11:$H$44,$B50,K$11:K$44)</f>
        <v>569.98516741019409</v>
      </c>
      <c r="L50" s="120">
        <f>K50/K51</f>
        <v>8.9432731521459169E-2</v>
      </c>
      <c r="M50" s="84"/>
      <c r="N50" s="84"/>
      <c r="O50" s="84"/>
      <c r="P50" s="84"/>
      <c r="Q50" s="84"/>
      <c r="R50" s="84"/>
      <c r="S50" s="84"/>
      <c r="T50" s="85">
        <f t="shared" si="7"/>
        <v>1638</v>
      </c>
      <c r="U50" s="85">
        <f t="shared" si="7"/>
        <v>200</v>
      </c>
      <c r="V50" s="85">
        <f t="shared" si="7"/>
        <v>4</v>
      </c>
    </row>
    <row r="51" spans="1:22" s="86" customFormat="1" ht="14.9" customHeight="1" x14ac:dyDescent="0.35">
      <c r="B51" s="87" t="s">
        <v>103</v>
      </c>
      <c r="C51" s="88"/>
      <c r="D51" s="88"/>
      <c r="E51" s="88"/>
      <c r="F51" s="88"/>
      <c r="G51" s="88"/>
      <c r="H51" s="88"/>
      <c r="I51" s="88"/>
      <c r="J51" s="88"/>
      <c r="K51" s="95">
        <f>SUM(K49:K50)</f>
        <v>6373.3395784006389</v>
      </c>
      <c r="L51" s="88"/>
      <c r="M51" s="88"/>
      <c r="N51" s="88"/>
      <c r="O51" s="88"/>
      <c r="P51" s="88"/>
      <c r="Q51" s="88"/>
      <c r="R51" s="88"/>
      <c r="S51" s="88"/>
      <c r="T51" s="89">
        <f>SUM(T49:T50)</f>
        <v>22999.090000000004</v>
      </c>
      <c r="U51" s="89">
        <f>SUM(U49:U50)</f>
        <v>84873.93</v>
      </c>
      <c r="V51" s="89">
        <f>SUM(V49:V50)</f>
        <v>137</v>
      </c>
    </row>
    <row r="52" spans="1:22" ht="14.9" customHeight="1" x14ac:dyDescent="0.35">
      <c r="A52" s="1"/>
      <c r="K52" s="90">
        <f>K51-K45</f>
        <v>0</v>
      </c>
      <c r="T52" s="90">
        <f>T51-T45</f>
        <v>0</v>
      </c>
      <c r="U52" s="90">
        <f>U51-U45</f>
        <v>0</v>
      </c>
      <c r="V52" s="90">
        <f>V51-V45</f>
        <v>0</v>
      </c>
    </row>
    <row r="53" spans="1:22" ht="14.9" customHeight="1" x14ac:dyDescent="0.35">
      <c r="A53" s="1"/>
    </row>
    <row r="54" spans="1:22" ht="14.9" customHeight="1" x14ac:dyDescent="0.35">
      <c r="A54" s="1"/>
      <c r="L54" s="91"/>
      <c r="M54" s="92"/>
    </row>
    <row r="55" spans="1:22" ht="14.9" customHeight="1" x14ac:dyDescent="0.35">
      <c r="A55" s="1"/>
      <c r="L55" s="91"/>
    </row>
    <row r="56" spans="1:22" ht="14.9" customHeight="1" x14ac:dyDescent="0.35">
      <c r="A56" s="1"/>
    </row>
    <row r="57" spans="1:22" ht="15.5" x14ac:dyDescent="0.35">
      <c r="A57" s="1"/>
    </row>
  </sheetData>
  <autoFilter ref="A10:AB46" xr:uid="{6319774A-195B-42A2-B0F2-4E1943CAA459}"/>
  <mergeCells count="87">
    <mergeCell ref="S39:S40"/>
    <mergeCell ref="T39:T40"/>
    <mergeCell ref="U39:U40"/>
    <mergeCell ref="V39:V40"/>
    <mergeCell ref="C45:D45"/>
    <mergeCell ref="E45:F45"/>
    <mergeCell ref="M39:M40"/>
    <mergeCell ref="N39:N40"/>
    <mergeCell ref="O39:O40"/>
    <mergeCell ref="P39:P40"/>
    <mergeCell ref="Q39:Q40"/>
    <mergeCell ref="R39:R40"/>
    <mergeCell ref="O36:O37"/>
    <mergeCell ref="P36:P37"/>
    <mergeCell ref="Q36:Q37"/>
    <mergeCell ref="R36:R37"/>
    <mergeCell ref="S36:S37"/>
    <mergeCell ref="B39:B40"/>
    <mergeCell ref="E39:E40"/>
    <mergeCell ref="F39:F40"/>
    <mergeCell ref="I39:I40"/>
    <mergeCell ref="L39:L40"/>
    <mergeCell ref="R34:R35"/>
    <mergeCell ref="S34:S35"/>
    <mergeCell ref="T34:T35"/>
    <mergeCell ref="U34:U35"/>
    <mergeCell ref="V34:V35"/>
    <mergeCell ref="B36:B37"/>
    <mergeCell ref="F36:F37"/>
    <mergeCell ref="L36:L37"/>
    <mergeCell ref="M36:M37"/>
    <mergeCell ref="N36:N37"/>
    <mergeCell ref="S31:S33"/>
    <mergeCell ref="B34:B35"/>
    <mergeCell ref="F34:F35"/>
    <mergeCell ref="I34:I35"/>
    <mergeCell ref="L34:L35"/>
    <mergeCell ref="M34:M35"/>
    <mergeCell ref="N34:N35"/>
    <mergeCell ref="O34:O35"/>
    <mergeCell ref="P34:P35"/>
    <mergeCell ref="Q34:Q35"/>
    <mergeCell ref="S29:S30"/>
    <mergeCell ref="B31:B33"/>
    <mergeCell ref="F31:F33"/>
    <mergeCell ref="L31:L33"/>
    <mergeCell ref="M31:M33"/>
    <mergeCell ref="N31:N33"/>
    <mergeCell ref="O31:O33"/>
    <mergeCell ref="P31:P33"/>
    <mergeCell ref="Q31:Q33"/>
    <mergeCell ref="R31:R33"/>
    <mergeCell ref="R27:R28"/>
    <mergeCell ref="S27:S28"/>
    <mergeCell ref="B29:B30"/>
    <mergeCell ref="F29:F30"/>
    <mergeCell ref="M29:M30"/>
    <mergeCell ref="N29:N30"/>
    <mergeCell ref="O29:O30"/>
    <mergeCell ref="P29:P30"/>
    <mergeCell ref="Q29:Q30"/>
    <mergeCell ref="R29:R30"/>
    <mergeCell ref="Q19:Q20"/>
    <mergeCell ref="R19:R20"/>
    <mergeCell ref="S19:S20"/>
    <mergeCell ref="B27:B28"/>
    <mergeCell ref="F27:F28"/>
    <mergeCell ref="M27:M28"/>
    <mergeCell ref="N27:N28"/>
    <mergeCell ref="O27:O28"/>
    <mergeCell ref="P27:P28"/>
    <mergeCell ref="Q27:Q28"/>
    <mergeCell ref="O11:O15"/>
    <mergeCell ref="P11:P15"/>
    <mergeCell ref="B19:B20"/>
    <mergeCell ref="F19:F20"/>
    <mergeCell ref="L19:L20"/>
    <mergeCell ref="M19:M20"/>
    <mergeCell ref="N19:N20"/>
    <mergeCell ref="O19:O20"/>
    <mergeCell ref="P19:P20"/>
    <mergeCell ref="B2:B5"/>
    <mergeCell ref="B11:B15"/>
    <mergeCell ref="F11:F15"/>
    <mergeCell ref="L11:L15"/>
    <mergeCell ref="M11:M15"/>
    <mergeCell ref="N11:N15"/>
  </mergeCells>
  <hyperlinks>
    <hyperlink ref="G3" location="Menu!A1" display="→Menu←" xr:uid="{A1D41305-B648-4CB1-907A-DC31F4133F80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4B12-1727-4716-BA28-F02B0ECA32F5}">
  <sheetPr>
    <tabColor theme="8" tint="0.39997558519241921"/>
  </sheetPr>
  <dimension ref="A1:AB56"/>
  <sheetViews>
    <sheetView showGridLines="0" zoomScale="55" zoomScaleNormal="55" workbookViewId="0">
      <pane xSplit="4" ySplit="10" topLeftCell="E11" activePane="bottomRight" state="frozen"/>
      <selection activeCell="G30" sqref="G30"/>
      <selection pane="topRight" activeCell="G30" sqref="G30"/>
      <selection pane="bottomLeft" activeCell="G30" sqref="G30"/>
      <selection pane="bottomRight" activeCell="F36" sqref="F36:F37"/>
    </sheetView>
  </sheetViews>
  <sheetFormatPr defaultColWidth="0" defaultRowHeight="0" customHeight="1" zeroHeight="1" outlineLevelCol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13.1796875" style="23" customWidth="1"/>
    <col min="7" max="7" width="14.54296875" style="23" customWidth="1"/>
    <col min="8" max="8" width="19.453125" style="23" bestFit="1" customWidth="1"/>
    <col min="9" max="9" width="12.54296875" style="23" bestFit="1" customWidth="1"/>
    <col min="10" max="10" width="22.453125" style="23" customWidth="1" outlineLevel="1"/>
    <col min="11" max="11" width="16.453125" style="23" customWidth="1"/>
    <col min="12" max="12" width="12.54296875" style="23" customWidth="1"/>
    <col min="13" max="13" width="30.54296875" style="23" customWidth="1"/>
    <col min="14" max="14" width="26.453125" style="79" customWidth="1"/>
    <col min="15" max="15" width="24.453125" style="79" customWidth="1"/>
    <col min="16" max="19" width="14.453125" style="79" customWidth="1"/>
    <col min="20" max="20" width="15.453125" style="81" customWidth="1"/>
    <col min="21" max="21" width="19.453125" style="81" customWidth="1"/>
    <col min="22" max="22" width="17.453125" style="2" customWidth="1"/>
    <col min="23" max="25" width="8.7265625" style="1" customWidth="1"/>
    <col min="26" max="28" width="0" style="1" hidden="1" customWidth="1"/>
    <col min="29" max="16384" width="8.7265625" style="1" hidden="1"/>
  </cols>
  <sheetData>
    <row r="1" spans="1:24" ht="3.65" customHeight="1" thickBot="1" x14ac:dyDescent="0.4">
      <c r="A1" s="1"/>
      <c r="B1" s="1"/>
      <c r="C1" s="1"/>
      <c r="D1" s="2"/>
      <c r="E1" s="2"/>
      <c r="F1" s="2"/>
      <c r="G1" s="2"/>
      <c r="H1" s="1"/>
      <c r="I1" s="2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8" customFormat="1" ht="15.5" x14ac:dyDescent="0.35">
      <c r="A2" s="3"/>
      <c r="B2" s="461" t="e" vm="2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3" spans="1:24" s="8" customFormat="1" ht="15.5" x14ac:dyDescent="0.35">
      <c r="A3" s="3"/>
      <c r="B3" s="462"/>
      <c r="C3" s="9" t="s">
        <v>0</v>
      </c>
      <c r="D3" s="10">
        <v>46112</v>
      </c>
      <c r="E3" s="9"/>
      <c r="F3" s="9"/>
      <c r="G3" s="11" t="s">
        <v>1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2"/>
    </row>
    <row r="4" spans="1:24" s="8" customFormat="1" ht="15.5" x14ac:dyDescent="0.35">
      <c r="A4" s="3"/>
      <c r="B4" s="462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 s="8" customFormat="1" ht="16" thickBot="1" x14ac:dyDescent="0.4">
      <c r="A5" s="3"/>
      <c r="B5" s="463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7"/>
    </row>
    <row r="6" spans="1:24" ht="5.9" customHeight="1" x14ac:dyDescent="0.35">
      <c r="A6" s="1"/>
      <c r="B6" s="1"/>
      <c r="C6" s="1"/>
      <c r="D6" s="2"/>
      <c r="E6" s="2"/>
      <c r="F6" s="2"/>
      <c r="G6" s="2"/>
      <c r="H6" s="1"/>
      <c r="I6" s="2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4" ht="3" customHeight="1" x14ac:dyDescent="0.35">
      <c r="A7" s="1"/>
      <c r="B7" s="1"/>
      <c r="C7" s="1"/>
      <c r="D7" s="2"/>
      <c r="E7" s="2"/>
      <c r="F7" s="2"/>
      <c r="G7" s="2"/>
      <c r="H7" s="1"/>
      <c r="I7" s="2"/>
      <c r="J7" s="18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ht="15.5" x14ac:dyDescent="0.35">
      <c r="A8" s="1"/>
      <c r="B8" s="20" t="s">
        <v>141</v>
      </c>
      <c r="C8" s="21"/>
      <c r="D8" s="22"/>
      <c r="E8" s="22"/>
      <c r="F8" s="22"/>
      <c r="G8" s="22"/>
      <c r="H8" s="21"/>
      <c r="I8" s="22"/>
      <c r="J8" s="21"/>
      <c r="K8" s="107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4" ht="5.9" customHeight="1" x14ac:dyDescent="0.35">
      <c r="A9" s="1"/>
      <c r="B9" s="1"/>
      <c r="C9" s="1"/>
      <c r="D9" s="2"/>
      <c r="E9" s="2"/>
      <c r="F9" s="2"/>
      <c r="G9" s="2"/>
      <c r="H9" s="1"/>
      <c r="I9" s="2"/>
      <c r="J9" s="18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4" ht="92.25" customHeight="1" thickBot="1" x14ac:dyDescent="0.4">
      <c r="A10" s="23"/>
      <c r="B10" s="24" t="s">
        <v>142</v>
      </c>
      <c r="C10" s="24" t="s">
        <v>143</v>
      </c>
      <c r="D10" s="25" t="s">
        <v>144</v>
      </c>
      <c r="E10" s="25" t="s">
        <v>145</v>
      </c>
      <c r="F10" s="25" t="s">
        <v>146</v>
      </c>
      <c r="G10" s="25" t="s">
        <v>147</v>
      </c>
      <c r="H10" s="25" t="s">
        <v>148</v>
      </c>
      <c r="I10" s="25" t="s">
        <v>149</v>
      </c>
      <c r="J10" s="25" t="s">
        <v>150</v>
      </c>
      <c r="K10" s="25" t="s">
        <v>151</v>
      </c>
      <c r="L10" s="25" t="s">
        <v>152</v>
      </c>
      <c r="M10" s="25" t="s">
        <v>153</v>
      </c>
      <c r="N10" s="25" t="s">
        <v>154</v>
      </c>
      <c r="O10" s="25" t="s">
        <v>154</v>
      </c>
      <c r="P10" s="25" t="s">
        <v>155</v>
      </c>
      <c r="Q10" s="25" t="s">
        <v>156</v>
      </c>
      <c r="R10" s="25" t="s">
        <v>157</v>
      </c>
      <c r="S10" s="25" t="s">
        <v>158</v>
      </c>
      <c r="T10" s="25" t="s">
        <v>159</v>
      </c>
      <c r="U10" s="25" t="s">
        <v>160</v>
      </c>
      <c r="V10" s="25" t="s">
        <v>161</v>
      </c>
    </row>
    <row r="11" spans="1:24" s="106" customFormat="1" ht="16.5" customHeight="1" thickBot="1" x14ac:dyDescent="0.4">
      <c r="A11" s="26"/>
      <c r="B11" s="464" t="str">
        <f>Concessões!B11</f>
        <v>ISA ENERGIA BRASIL</v>
      </c>
      <c r="C11" s="27" t="str">
        <f>Concessões!C11</f>
        <v>059/2001</v>
      </c>
      <c r="D11" s="27" t="str">
        <f>Concessões!D11</f>
        <v>Concessão Paulista</v>
      </c>
      <c r="E11" s="27" t="str">
        <f>Concessões!E11</f>
        <v>SP</v>
      </c>
      <c r="F11" s="465">
        <f>Concessões!F11</f>
        <v>30</v>
      </c>
      <c r="G11" s="28">
        <f>Concessões!G11</f>
        <v>52231</v>
      </c>
      <c r="H11" s="27" t="str">
        <f>IF(Concessões!H11="Operacional","Operational","Under Construction")</f>
        <v>Operational</v>
      </c>
      <c r="I11" s="27">
        <f>Concessões!I11</f>
        <v>2028</v>
      </c>
      <c r="J11" s="29">
        <f>Concessões!J11</f>
        <v>3546.9335194000651</v>
      </c>
      <c r="K11" s="109">
        <f>Concessões!K11</f>
        <v>3546.9335194000651</v>
      </c>
      <c r="L11" s="465" t="str">
        <f>Concessões!L11</f>
        <v>IPCA</v>
      </c>
      <c r="M11" s="468">
        <f>Concessões!M11</f>
        <v>1</v>
      </c>
      <c r="N11" s="465" t="str">
        <f>IF(Concessões!N11="Integral","Fully consolidated","Equity method")</f>
        <v>Fully consolidated</v>
      </c>
      <c r="O11" s="465" t="str">
        <f>IF(Concessões!O11="Lucro Real","Real Profit","Presumed Profit")</f>
        <v>Real Profit</v>
      </c>
      <c r="P11" s="469">
        <f>Concessões!P11</f>
        <v>9.2499999999999999E-2</v>
      </c>
      <c r="Q11" s="96" t="str">
        <f>Concessões!Q11</f>
        <v>n.a</v>
      </c>
      <c r="R11" s="97" t="str">
        <f>Concessões!R11</f>
        <v>n.a</v>
      </c>
      <c r="S11" s="98" t="str">
        <f>Concessões!S11</f>
        <v>n.a</v>
      </c>
      <c r="T11" s="30">
        <f>Concessões!T11</f>
        <v>14617.53</v>
      </c>
      <c r="U11" s="30">
        <f>Concessões!U11</f>
        <v>50180.93</v>
      </c>
      <c r="V11" s="30">
        <f>Concessões!V11</f>
        <v>109</v>
      </c>
      <c r="W11" s="118"/>
    </row>
    <row r="12" spans="1:24" s="106" customFormat="1" ht="16.5" customHeight="1" thickBot="1" x14ac:dyDescent="0.4">
      <c r="A12" s="26"/>
      <c r="B12" s="464"/>
      <c r="C12" s="31" t="str">
        <f>Concessões!C12</f>
        <v>008/2022</v>
      </c>
      <c r="D12" s="31" t="str">
        <f>Concessões!D12</f>
        <v>Piraquê</v>
      </c>
      <c r="E12" s="31" t="str">
        <f>Concessões!E12</f>
        <v>MG / ES</v>
      </c>
      <c r="F12" s="466"/>
      <c r="G12" s="32">
        <f>Concessões!G12</f>
        <v>55792</v>
      </c>
      <c r="H12" s="31" t="str">
        <f>IF(Concessões!H12="Operacional","Operational","Under Construction")</f>
        <v>Operational</v>
      </c>
      <c r="I12" s="31">
        <f>Concessões!I12</f>
        <v>2028</v>
      </c>
      <c r="J12" s="33">
        <f>Concessões!J12</f>
        <v>343.10103999980538</v>
      </c>
      <c r="K12" s="110">
        <f>Concessões!K12</f>
        <v>343.10103999980538</v>
      </c>
      <c r="L12" s="466"/>
      <c r="M12" s="466"/>
      <c r="N12" s="466"/>
      <c r="O12" s="466"/>
      <c r="P12" s="470"/>
      <c r="Q12" s="99">
        <f>Concessões!Q12</f>
        <v>0.84</v>
      </c>
      <c r="R12" s="97" t="str">
        <f>Concessões!R12</f>
        <v>n.a</v>
      </c>
      <c r="S12" s="98" t="str">
        <f>Concessões!S12</f>
        <v>n.a</v>
      </c>
      <c r="T12" s="34">
        <f>Concessões!T12</f>
        <v>936.2</v>
      </c>
      <c r="U12" s="34">
        <f>Concessões!U12</f>
        <v>2250</v>
      </c>
      <c r="V12" s="34">
        <f>Concessões!V12</f>
        <v>2</v>
      </c>
      <c r="W12" s="119"/>
    </row>
    <row r="13" spans="1:24" s="106" customFormat="1" ht="16.5" customHeight="1" x14ac:dyDescent="0.35">
      <c r="A13" s="26"/>
      <c r="B13" s="464"/>
      <c r="C13" s="31" t="str">
        <f>Concessões!C13</f>
        <v>012/2016</v>
      </c>
      <c r="D13" s="31" t="str">
        <f>Concessões!D13</f>
        <v>PBTE</v>
      </c>
      <c r="E13" s="31" t="str">
        <f>Concessões!E13</f>
        <v>SP</v>
      </c>
      <c r="F13" s="466"/>
      <c r="G13" s="32">
        <f>Concessões!G13</f>
        <v>53652</v>
      </c>
      <c r="H13" s="31" t="str">
        <f>IF(Concessões!H13="Operacional","Operational","Under Construction")</f>
        <v>Operational</v>
      </c>
      <c r="I13" s="31">
        <f>Concessões!I13</f>
        <v>2027</v>
      </c>
      <c r="J13" s="33">
        <f>Concessões!J13</f>
        <v>234.84007329413399</v>
      </c>
      <c r="K13" s="110">
        <f>Concessões!K13</f>
        <v>234.84007329413399</v>
      </c>
      <c r="L13" s="466"/>
      <c r="M13" s="466"/>
      <c r="N13" s="466"/>
      <c r="O13" s="466"/>
      <c r="P13" s="470"/>
      <c r="Q13" s="99" t="str">
        <f>Concessões!Q13</f>
        <v>n.a</v>
      </c>
      <c r="R13" s="97" t="str">
        <f>Concessões!R13</f>
        <v>n.a</v>
      </c>
      <c r="S13" s="98" t="str">
        <f>Concessões!S13</f>
        <v>n.a</v>
      </c>
      <c r="T13" s="34">
        <f>Concessões!T13</f>
        <v>15</v>
      </c>
      <c r="U13" s="34" t="str">
        <f>Concessões!U13</f>
        <v>N.A</v>
      </c>
      <c r="V13" s="34" t="str">
        <f>Concessões!V13</f>
        <v>N.A</v>
      </c>
      <c r="W13" s="118"/>
    </row>
    <row r="14" spans="1:24" s="106" customFormat="1" ht="16.5" customHeight="1" x14ac:dyDescent="0.35">
      <c r="A14" s="26"/>
      <c r="B14" s="464"/>
      <c r="C14" s="31" t="str">
        <f>Concessões!C14</f>
        <v>006/2023</v>
      </c>
      <c r="D14" s="31" t="str">
        <f>Concessões!D14</f>
        <v>Serra Dourada</v>
      </c>
      <c r="E14" s="31" t="str">
        <f>Concessões!E14</f>
        <v>BA/MG</v>
      </c>
      <c r="F14" s="466"/>
      <c r="G14" s="32">
        <f>Concessões!G14</f>
        <v>56156</v>
      </c>
      <c r="H14" s="31" t="str">
        <f>IF(Concessões!H14="Operacional","Operational","Under Construction")</f>
        <v>Under Construction</v>
      </c>
      <c r="I14" s="31">
        <f>Concessões!I14</f>
        <v>2029</v>
      </c>
      <c r="J14" s="33">
        <f>Concessões!J14</f>
        <v>321.80777299039528</v>
      </c>
      <c r="K14" s="110">
        <f>Concessões!K14</f>
        <v>321.80777299039528</v>
      </c>
      <c r="L14" s="466"/>
      <c r="M14" s="466"/>
      <c r="N14" s="466"/>
      <c r="O14" s="466"/>
      <c r="P14" s="470"/>
      <c r="Q14" s="99">
        <f>Concessões!Q14</f>
        <v>1</v>
      </c>
      <c r="R14" s="100" t="str">
        <f>Concessões!R14</f>
        <v>n.d</v>
      </c>
      <c r="S14" s="100" t="str">
        <f>Concessões!S14</f>
        <v>n.d</v>
      </c>
      <c r="T14" s="34">
        <f>Concessões!T14</f>
        <v>1116</v>
      </c>
      <c r="U14" s="34">
        <f>Concessões!U14</f>
        <v>200</v>
      </c>
      <c r="V14" s="34">
        <f>Concessões!V14</f>
        <v>3</v>
      </c>
      <c r="W14" s="119"/>
    </row>
    <row r="15" spans="1:24" s="106" customFormat="1" ht="16.5" customHeight="1" thickBot="1" x14ac:dyDescent="0.4">
      <c r="A15" s="26"/>
      <c r="B15" s="464"/>
      <c r="C15" s="35" t="str">
        <f>Concessões!C15</f>
        <v>012/2023</v>
      </c>
      <c r="D15" s="35" t="str">
        <f>Concessões!D15</f>
        <v>Itatiaia</v>
      </c>
      <c r="E15" s="35" t="str">
        <f>Concessões!E15</f>
        <v>RJ/MG</v>
      </c>
      <c r="F15" s="467"/>
      <c r="G15" s="36">
        <f>Concessões!G15</f>
        <v>56156</v>
      </c>
      <c r="H15" s="35" t="str">
        <f>IF(Concessões!H15="Operacional","Operational","Under Construction")</f>
        <v>Under Construction</v>
      </c>
      <c r="I15" s="35">
        <f>Concessões!I15</f>
        <v>2029</v>
      </c>
      <c r="J15" s="37">
        <f>Concessões!J15</f>
        <v>248.17739441979884</v>
      </c>
      <c r="K15" s="111">
        <f>Concessões!K15</f>
        <v>248.17739441979884</v>
      </c>
      <c r="L15" s="467"/>
      <c r="M15" s="467"/>
      <c r="N15" s="467"/>
      <c r="O15" s="467"/>
      <c r="P15" s="471"/>
      <c r="Q15" s="101">
        <f>Concessões!Q15</f>
        <v>0.15</v>
      </c>
      <c r="R15" s="100" t="str">
        <f>Concessões!R15</f>
        <v>n.d</v>
      </c>
      <c r="S15" s="100" t="str">
        <f>Concessões!S15</f>
        <v>n.d</v>
      </c>
      <c r="T15" s="38">
        <f>Concessões!T15</f>
        <v>522</v>
      </c>
      <c r="U15" s="38">
        <f>Concessões!U15</f>
        <v>0</v>
      </c>
      <c r="V15" s="38">
        <f>Concessões!V15</f>
        <v>1</v>
      </c>
    </row>
    <row r="16" spans="1:24" ht="16.5" customHeight="1" thickBot="1" x14ac:dyDescent="0.4">
      <c r="A16" s="26"/>
      <c r="B16" s="54" t="str">
        <f>Concessões!B16</f>
        <v>IE Aguapeí</v>
      </c>
      <c r="C16" s="55" t="str">
        <f>Concessões!C16</f>
        <v>046/2017</v>
      </c>
      <c r="D16" s="55" t="str">
        <f>Concessões!D16</f>
        <v>Aguapeí</v>
      </c>
      <c r="E16" s="55" t="str">
        <f>Concessões!E16</f>
        <v>SP</v>
      </c>
      <c r="F16" s="55">
        <f>Concessões!F16</f>
        <v>30</v>
      </c>
      <c r="G16" s="56">
        <f>Concessões!G16</f>
        <v>53915</v>
      </c>
      <c r="H16" s="55" t="str">
        <f>IF(Concessões!H16="Operacional","Operational","Under Construction")</f>
        <v>Operational</v>
      </c>
      <c r="I16" s="55">
        <f>Concessões!I16</f>
        <v>2028</v>
      </c>
      <c r="J16" s="57">
        <f>Concessões!J16</f>
        <v>83.236966918462116</v>
      </c>
      <c r="K16" s="115">
        <f>Concessões!K16</f>
        <v>83.236966918462116</v>
      </c>
      <c r="L16" s="55" t="str">
        <f>Concessões!L16</f>
        <v>IPCA</v>
      </c>
      <c r="M16" s="58">
        <f>Concessões!M16</f>
        <v>1</v>
      </c>
      <c r="N16" s="55" t="str">
        <f>IF(Concessões!N16="Integral","Fully consolidated","Equity method")</f>
        <v>Fully consolidated</v>
      </c>
      <c r="O16" s="55" t="str">
        <f>IF(Concessões!O16="Lucro Real","Real Profit","Presumed Profit")</f>
        <v>Real Profit</v>
      </c>
      <c r="P16" s="103">
        <f>Concessões!P16</f>
        <v>9.2499999999999999E-2</v>
      </c>
      <c r="Q16" s="103" t="str">
        <f>Concessões!Q16</f>
        <v>n.a</v>
      </c>
      <c r="R16" s="103" t="str">
        <f>Concessões!R16</f>
        <v>n.a</v>
      </c>
      <c r="S16" s="103" t="str">
        <f>Concessões!S16</f>
        <v>n.a</v>
      </c>
      <c r="T16" s="59" t="str">
        <f>Concessões!T16</f>
        <v>N.A</v>
      </c>
      <c r="U16" s="59">
        <f>Concessões!U16</f>
        <v>1400</v>
      </c>
      <c r="V16" s="59">
        <f>Concessões!V16</f>
        <v>2</v>
      </c>
    </row>
    <row r="17" spans="1:22" ht="16.5" customHeight="1" thickBot="1" x14ac:dyDescent="0.4">
      <c r="A17" s="39"/>
      <c r="B17" s="49" t="str">
        <f>Concessões!B17</f>
        <v>IE Riacho Grande</v>
      </c>
      <c r="C17" s="31" t="str">
        <f>Concessões!C17</f>
        <v>005/2021</v>
      </c>
      <c r="D17" s="50" t="str">
        <f>Concessões!D17</f>
        <v>Riacho Grande</v>
      </c>
      <c r="E17" s="50" t="str">
        <f>Concessões!E17</f>
        <v>SP</v>
      </c>
      <c r="F17" s="50">
        <f>Concessões!F17</f>
        <v>30</v>
      </c>
      <c r="G17" s="51">
        <f>Concessões!G17</f>
        <v>55243</v>
      </c>
      <c r="H17" s="50" t="str">
        <f>IF(Concessões!H17="Operacional","Operational","Under Construction")</f>
        <v>Operational</v>
      </c>
      <c r="I17" s="50">
        <f>Concessões!I17</f>
        <v>2025</v>
      </c>
      <c r="J17" s="52">
        <f>Concessões!J17</f>
        <v>93.110359205539737</v>
      </c>
      <c r="K17" s="114">
        <f>Concessões!K17</f>
        <v>93.110359205539737</v>
      </c>
      <c r="L17" s="50" t="str">
        <f>Concessões!L17</f>
        <v>IPCA</v>
      </c>
      <c r="M17" s="60">
        <f>Concessões!M17</f>
        <v>1</v>
      </c>
      <c r="N17" s="50" t="str">
        <f>IF(Concessões!N17="Integral","Fully consolidated","Equity method")</f>
        <v>Fully consolidated</v>
      </c>
      <c r="O17" s="50" t="str">
        <f>IF(Concessões!O17="Lucro Real","Real Profit","Presumed Profit")</f>
        <v>Real Profit</v>
      </c>
      <c r="P17" s="102">
        <f>Concessões!P17</f>
        <v>9.2499999999999999E-2</v>
      </c>
      <c r="Q17" s="102" t="str">
        <f>Concessões!Q17</f>
        <v>n.a</v>
      </c>
      <c r="R17" s="102" t="str">
        <f>Concessões!R17</f>
        <v>n.a</v>
      </c>
      <c r="S17" s="102" t="str">
        <f>Concessões!S17</f>
        <v>n.a</v>
      </c>
      <c r="T17" s="53">
        <f>Concessões!T17</f>
        <v>30.22</v>
      </c>
      <c r="U17" s="53">
        <f>Concessões!U17</f>
        <v>800</v>
      </c>
      <c r="V17" s="53">
        <f>Concessões!V17</f>
        <v>1</v>
      </c>
    </row>
    <row r="18" spans="1:22" s="2" customFormat="1" ht="16" thickBot="1" x14ac:dyDescent="0.4">
      <c r="A18" s="26"/>
      <c r="B18" s="123" t="str">
        <f>Concessões!B18</f>
        <v>Evrecy</v>
      </c>
      <c r="C18" s="132" t="str">
        <f>Concessões!C18</f>
        <v>001/2020</v>
      </c>
      <c r="D18" s="132" t="str">
        <f>Concessões!D18</f>
        <v>Minuano</v>
      </c>
      <c r="E18" s="132" t="str">
        <f>Concessões!E18</f>
        <v>RS</v>
      </c>
      <c r="F18" s="40">
        <f>Concessões!F18</f>
        <v>30</v>
      </c>
      <c r="G18" s="42">
        <f>Concessões!G18</f>
        <v>54867</v>
      </c>
      <c r="H18" s="132" t="str">
        <f>IF(Concessões!H18="Operacional","Operational","Under Construction")</f>
        <v>Operational</v>
      </c>
      <c r="I18" s="40">
        <f>Concessões!I18</f>
        <v>2025</v>
      </c>
      <c r="J18" s="43">
        <f>Concessões!J18</f>
        <v>52.959984550000016</v>
      </c>
      <c r="K18" s="112">
        <f>Concessões!K18</f>
        <v>52.959984550000016</v>
      </c>
      <c r="L18" s="40" t="str">
        <f>Concessões!L18</f>
        <v>IPCA</v>
      </c>
      <c r="M18" s="121">
        <f>Concessões!M18</f>
        <v>1</v>
      </c>
      <c r="N18" s="40" t="str">
        <f>IF(Concessões!N18="Integral","Fully consolidated","Equity method")</f>
        <v>Fully consolidated</v>
      </c>
      <c r="O18" s="40" t="str">
        <f>IF(Concessões!O18="Lucro Real","Real Profit","Presumed Profit")</f>
        <v>Presumed Profit</v>
      </c>
      <c r="P18" s="122">
        <f>Concessões!P18</f>
        <v>3.6499999999999998E-2</v>
      </c>
      <c r="Q18" s="122" t="str">
        <f>Concessões!Q18</f>
        <v>n.a</v>
      </c>
      <c r="R18" s="122" t="str">
        <f>Concessões!R18</f>
        <v>n.a</v>
      </c>
      <c r="S18" s="122" t="str">
        <f>Concessões!S18</f>
        <v>n.a</v>
      </c>
      <c r="T18" s="44">
        <f>Concessões!T18</f>
        <v>77.11</v>
      </c>
      <c r="U18" s="44">
        <f>Concessões!U18</f>
        <v>2691</v>
      </c>
      <c r="V18" s="44">
        <f>Concessões!V18</f>
        <v>1</v>
      </c>
    </row>
    <row r="19" spans="1:22" ht="16.5" customHeight="1" x14ac:dyDescent="0.35">
      <c r="A19" s="39"/>
      <c r="B19" s="472" t="str">
        <f>Concessões!B19</f>
        <v>IEMG</v>
      </c>
      <c r="C19" s="31" t="str">
        <f>Concessões!C19</f>
        <v>007/2020</v>
      </c>
      <c r="D19" s="129" t="str">
        <f>Concessões!D19</f>
        <v>Triângulo Mineiro</v>
      </c>
      <c r="E19" s="129" t="str">
        <f>Concessões!E19</f>
        <v>MG</v>
      </c>
      <c r="F19" s="474">
        <f>Concessões!F19</f>
        <v>30</v>
      </c>
      <c r="G19" s="67">
        <f>Concessões!G19</f>
        <v>54867</v>
      </c>
      <c r="H19" s="66" t="str">
        <f>IF(Concessões!H19="Operacional","Operational","Under Construction")</f>
        <v>Operational</v>
      </c>
      <c r="I19" s="66">
        <f>Concessões!I19</f>
        <v>2025</v>
      </c>
      <c r="J19" s="68">
        <f>Concessões!J19</f>
        <v>46.140901050000011</v>
      </c>
      <c r="K19" s="117">
        <f>Concessões!K19</f>
        <v>46.140901050000011</v>
      </c>
      <c r="L19" s="474" t="str">
        <f>Concessões!L19</f>
        <v>IPCA</v>
      </c>
      <c r="M19" s="475">
        <f>Concessões!M19</f>
        <v>1</v>
      </c>
      <c r="N19" s="474" t="str">
        <f>IF(Concessões!N19="Integral","Fully consolidated","Equity method")</f>
        <v>Fully consolidated</v>
      </c>
      <c r="O19" s="474" t="str">
        <f>IF(Concessões!O19="Lucro Real","Real Profit","Presumed Profit")</f>
        <v>Presumed Profit</v>
      </c>
      <c r="P19" s="476">
        <f>Concessões!P19</f>
        <v>3.6499999999999998E-2</v>
      </c>
      <c r="Q19" s="476" t="str">
        <f>Concessões!Q19</f>
        <v>n.a</v>
      </c>
      <c r="R19" s="476" t="str">
        <f>Concessões!R19</f>
        <v>n.a</v>
      </c>
      <c r="S19" s="476" t="str">
        <f>Concessões!S19</f>
        <v>n.a</v>
      </c>
      <c r="T19" s="69">
        <f>Concessões!T19</f>
        <v>158.21000000000029</v>
      </c>
      <c r="U19" s="69">
        <f>Concessões!U19</f>
        <v>1600</v>
      </c>
      <c r="V19" s="69">
        <f>Concessões!V19</f>
        <v>3</v>
      </c>
    </row>
    <row r="20" spans="1:22" ht="16.5" customHeight="1" thickBot="1" x14ac:dyDescent="0.4">
      <c r="A20" s="39"/>
      <c r="B20" s="473"/>
      <c r="C20" s="31" t="str">
        <f>Concessões!C20</f>
        <v>004/2007</v>
      </c>
      <c r="D20" s="35" t="str">
        <f>Concessões!D20</f>
        <v>IEMG</v>
      </c>
      <c r="E20" s="35" t="str">
        <f>Concessões!E20</f>
        <v>MG</v>
      </c>
      <c r="F20" s="467">
        <f>Concessões!F20</f>
        <v>0</v>
      </c>
      <c r="G20" s="36">
        <f>Concessões!G20</f>
        <v>50153</v>
      </c>
      <c r="H20" s="35" t="str">
        <f>IF(Concessões!H20="Operacional","Operational","Under Construction")</f>
        <v>Operational</v>
      </c>
      <c r="I20" s="35" t="str">
        <f>Concessões!I20</f>
        <v>n.a.</v>
      </c>
      <c r="J20" s="37">
        <f>Concessões!J20</f>
        <v>15.430810056724884</v>
      </c>
      <c r="K20" s="111">
        <f>Concessões!K20</f>
        <v>15.430810056724884</v>
      </c>
      <c r="L20" s="467">
        <f>Concessões!L20</f>
        <v>0</v>
      </c>
      <c r="M20" s="467">
        <f>Concessões!M20</f>
        <v>0</v>
      </c>
      <c r="N20" s="467" t="str">
        <f>IF(Concessões!N20="Integral","Fully consolidated","Equity method")</f>
        <v>Equity method</v>
      </c>
      <c r="O20" s="467" t="str">
        <f>IF(Concessões!O20="Lucro Real","Real Profit","Presumed Profit")</f>
        <v>Presumed Profit</v>
      </c>
      <c r="P20" s="477">
        <f>Concessões!P20</f>
        <v>0</v>
      </c>
      <c r="Q20" s="477"/>
      <c r="R20" s="477"/>
      <c r="S20" s="477"/>
      <c r="T20" s="38">
        <f>Concessões!T20</f>
        <v>173.03</v>
      </c>
      <c r="U20" s="38" t="str">
        <f>Concessões!U20</f>
        <v>N.A</v>
      </c>
      <c r="V20" s="38" t="str">
        <f>Concessões!V20</f>
        <v>N.A</v>
      </c>
    </row>
    <row r="21" spans="1:22" ht="16.5" customHeight="1" thickBot="1" x14ac:dyDescent="0.4">
      <c r="A21" s="26"/>
      <c r="B21" s="54" t="str">
        <f>Concessões!B21</f>
        <v>IE Itaúnas</v>
      </c>
      <c r="C21" s="55" t="str">
        <f>Concessões!C21</f>
        <v>018/2017</v>
      </c>
      <c r="D21" s="55" t="str">
        <f>Concessões!D21</f>
        <v>Itaúnas</v>
      </c>
      <c r="E21" s="55" t="str">
        <f>Concessões!E21</f>
        <v>ES</v>
      </c>
      <c r="F21" s="55">
        <f>Concessões!F21</f>
        <v>30</v>
      </c>
      <c r="G21" s="56">
        <f>Concessões!G21</f>
        <v>53733</v>
      </c>
      <c r="H21" s="55" t="str">
        <f>IF(Concessões!H21="Operacional","Operational","Under Construction")</f>
        <v>Operational</v>
      </c>
      <c r="I21" s="55">
        <f>Concessões!I21</f>
        <v>2027</v>
      </c>
      <c r="J21" s="115">
        <f>Concessões!J21</f>
        <v>72.109375825255484</v>
      </c>
      <c r="K21" s="115">
        <f>Concessões!K21</f>
        <v>72.109375825255484</v>
      </c>
      <c r="L21" s="55" t="str">
        <f>Concessões!L21</f>
        <v>IPCA</v>
      </c>
      <c r="M21" s="58">
        <f>Concessões!M21</f>
        <v>1</v>
      </c>
      <c r="N21" s="55" t="str">
        <f>IF(Concessões!N21="Integral","Fully consolidated","Equity method")</f>
        <v>Fully consolidated</v>
      </c>
      <c r="O21" s="55" t="str">
        <f>IF(Concessões!O21="Lucro Real","Real Profit","Presumed Profit")</f>
        <v>Presumed Profit</v>
      </c>
      <c r="P21" s="103">
        <f>Concessões!P21</f>
        <v>3.6499999999999998E-2</v>
      </c>
      <c r="Q21" s="103" t="str">
        <f>Concessões!Q21</f>
        <v>n.a</v>
      </c>
      <c r="R21" s="103" t="str">
        <f>Concessões!R21</f>
        <v>n.a</v>
      </c>
      <c r="S21" s="103" t="str">
        <f>Concessões!S21</f>
        <v>n.a</v>
      </c>
      <c r="T21" s="59">
        <f>Concessões!T21</f>
        <v>77.03</v>
      </c>
      <c r="U21" s="59">
        <f>Concessões!U21</f>
        <v>1350</v>
      </c>
      <c r="V21" s="59">
        <f>Concessões!V21</f>
        <v>1</v>
      </c>
    </row>
    <row r="22" spans="1:22" ht="16.5" customHeight="1" thickBot="1" x14ac:dyDescent="0.4">
      <c r="A22" s="26"/>
      <c r="B22" s="70" t="str">
        <f>Concessões!B22</f>
        <v>IE Itaquerê</v>
      </c>
      <c r="C22" s="31" t="str">
        <f>Concessões!C22</f>
        <v>027/2017</v>
      </c>
      <c r="D22" s="31" t="str">
        <f>Concessões!D22</f>
        <v>Itaquerê</v>
      </c>
      <c r="E22" s="31" t="str">
        <f>Concessões!E22</f>
        <v>SP</v>
      </c>
      <c r="F22" s="31">
        <f>Concessões!F22</f>
        <v>30</v>
      </c>
      <c r="G22" s="32">
        <f>Concessões!G22</f>
        <v>53915</v>
      </c>
      <c r="H22" s="31" t="str">
        <f>IF(Concessões!H22="Operacional","Operational","Under Construction")</f>
        <v>Operational</v>
      </c>
      <c r="I22" s="31">
        <f>Concessões!I22</f>
        <v>2028</v>
      </c>
      <c r="J22" s="33">
        <f>Concessões!J22</f>
        <v>70.794383704919042</v>
      </c>
      <c r="K22" s="110">
        <f>Concessões!K22</f>
        <v>70.794383704919042</v>
      </c>
      <c r="L22" s="31" t="str">
        <f>Concessões!L22</f>
        <v>IPCA</v>
      </c>
      <c r="M22" s="71">
        <f>Concessões!M22</f>
        <v>1</v>
      </c>
      <c r="N22" s="31" t="str">
        <f>IF(Concessões!N22="Integral","Fully consolidated","Equity method")</f>
        <v>Fully consolidated</v>
      </c>
      <c r="O22" s="31" t="str">
        <f>IF(Concessões!O22="Lucro Real","Real Profit","Presumed Profit")</f>
        <v>Presumed Profit</v>
      </c>
      <c r="P22" s="100">
        <f>Concessões!P22</f>
        <v>3.6499999999999998E-2</v>
      </c>
      <c r="Q22" s="100" t="str">
        <f>Concessões!Q22</f>
        <v>n.a</v>
      </c>
      <c r="R22" s="100" t="str">
        <f>Concessões!R22</f>
        <v>n.a</v>
      </c>
      <c r="S22" s="100" t="str">
        <f>Concessões!S22</f>
        <v>n.a</v>
      </c>
      <c r="T22" s="34" t="str">
        <f>Concessões!T22</f>
        <v>N.A</v>
      </c>
      <c r="U22" s="34">
        <f>Concessões!U22</f>
        <v>900</v>
      </c>
      <c r="V22" s="34" t="str">
        <f>Concessões!V22</f>
        <v>N.A</v>
      </c>
    </row>
    <row r="23" spans="1:22" ht="16.5" customHeight="1" thickBot="1" x14ac:dyDescent="0.4">
      <c r="A23" s="39"/>
      <c r="B23" s="54" t="str">
        <f>Concessões!B23</f>
        <v>IENNE</v>
      </c>
      <c r="C23" s="55" t="str">
        <f>Concessões!C23</f>
        <v>001/2008</v>
      </c>
      <c r="D23" s="55" t="str">
        <f>Concessões!D23</f>
        <v>IENNE</v>
      </c>
      <c r="E23" s="55" t="str">
        <f>Concessões!E23</f>
        <v>PI / TO / MA</v>
      </c>
      <c r="F23" s="55">
        <f>Concessões!F23</f>
        <v>30</v>
      </c>
      <c r="G23" s="56">
        <f>Concessões!G23</f>
        <v>50480</v>
      </c>
      <c r="H23" s="55" t="str">
        <f>IF(Concessões!H23="Operacional","Operational","Under Construction")</f>
        <v>Operational</v>
      </c>
      <c r="I23" s="55">
        <f>Concessões!I23</f>
        <v>2028</v>
      </c>
      <c r="J23" s="57">
        <f>Concessões!J23</f>
        <v>71.392523093207842</v>
      </c>
      <c r="K23" s="115">
        <f>Concessões!K23</f>
        <v>71.392523093207842</v>
      </c>
      <c r="L23" s="55" t="str">
        <f>Concessões!L23</f>
        <v>IPCA</v>
      </c>
      <c r="M23" s="58">
        <f>Concessões!M23</f>
        <v>1</v>
      </c>
      <c r="N23" s="55" t="str">
        <f>IF(Concessões!N23="Integral","Fully consolidated","Equity method")</f>
        <v>Fully consolidated</v>
      </c>
      <c r="O23" s="55" t="str">
        <f>IF(Concessões!O23="Lucro Real","Real Profit","Presumed Profit")</f>
        <v>Presumed Profit</v>
      </c>
      <c r="P23" s="103">
        <f>Concessões!P23</f>
        <v>3.6499999999999998E-2</v>
      </c>
      <c r="Q23" s="103" t="str">
        <f>Concessões!Q23</f>
        <v>n.a</v>
      </c>
      <c r="R23" s="103" t="str">
        <f>Concessões!R23</f>
        <v>n.a</v>
      </c>
      <c r="S23" s="103" t="str">
        <f>Concessões!S23</f>
        <v>n.a</v>
      </c>
      <c r="T23" s="59">
        <f>Concessões!T23</f>
        <v>710.87</v>
      </c>
      <c r="U23" s="59" t="str">
        <f>Concessões!U23</f>
        <v>N.A</v>
      </c>
      <c r="V23" s="59" t="str">
        <f>Concessões!V23</f>
        <v>N.A</v>
      </c>
    </row>
    <row r="24" spans="1:22" ht="16.5" customHeight="1" thickBot="1" x14ac:dyDescent="0.4">
      <c r="A24" s="26"/>
      <c r="B24" s="49" t="str">
        <f>Concessões!B24</f>
        <v>IE Serra do Japi</v>
      </c>
      <c r="C24" s="31" t="str">
        <f>Concessões!C24</f>
        <v>026/2009</v>
      </c>
      <c r="D24" s="50" t="str">
        <f>Concessões!D24</f>
        <v>Serra do Japi</v>
      </c>
      <c r="E24" s="50" t="str">
        <f>Concessões!E24</f>
        <v>SP</v>
      </c>
      <c r="F24" s="50">
        <f>Concessões!F24</f>
        <v>30</v>
      </c>
      <c r="G24" s="51">
        <f>Concessões!G24</f>
        <v>51092</v>
      </c>
      <c r="H24" s="50" t="str">
        <f>IF(Concessões!H24="Operacional","Operational","Under Construction")</f>
        <v>Operational</v>
      </c>
      <c r="I24" s="50">
        <f>Concessões!I24</f>
        <v>2025</v>
      </c>
      <c r="J24" s="52">
        <f>Concessões!J24</f>
        <v>62.43698092135655</v>
      </c>
      <c r="K24" s="114">
        <f>Concessões!K24</f>
        <v>62.43698092135655</v>
      </c>
      <c r="L24" s="50" t="str">
        <f>Concessões!L24</f>
        <v>IPCA</v>
      </c>
      <c r="M24" s="60">
        <f>Concessões!M24</f>
        <v>1</v>
      </c>
      <c r="N24" s="50" t="str">
        <f>IF(Concessões!N24="Integral","Fully consolidated","Equity method")</f>
        <v>Fully consolidated</v>
      </c>
      <c r="O24" s="50" t="str">
        <f>IF(Concessões!O24="Lucro Real","Real Profit","Presumed Profit")</f>
        <v>Presumed Profit</v>
      </c>
      <c r="P24" s="102">
        <f>Concessões!P24</f>
        <v>3.6499999999999998E-2</v>
      </c>
      <c r="Q24" s="102" t="str">
        <f>Concessões!Q24</f>
        <v>n.a</v>
      </c>
      <c r="R24" s="102" t="str">
        <f>Concessões!R24</f>
        <v>n.a</v>
      </c>
      <c r="S24" s="102" t="str">
        <f>Concessões!S24</f>
        <v>n.a</v>
      </c>
      <c r="T24" s="53" t="str">
        <f>Concessões!T24</f>
        <v>N.A</v>
      </c>
      <c r="U24" s="53">
        <f>Concessões!U24</f>
        <v>2000</v>
      </c>
      <c r="V24" s="53">
        <f>Concessões!V24</f>
        <v>2</v>
      </c>
    </row>
    <row r="25" spans="1:22" ht="16.5" customHeight="1" thickBot="1" x14ac:dyDescent="0.4">
      <c r="A25" s="26"/>
      <c r="B25" s="54" t="str">
        <f>Concessões!B25</f>
        <v>IE Jaguar 9</v>
      </c>
      <c r="C25" s="55" t="str">
        <f>Concessões!C25</f>
        <v>015/2008</v>
      </c>
      <c r="D25" s="72" t="str">
        <f>Concessões!D25</f>
        <v>Getulina, Mirassol e Aráras</v>
      </c>
      <c r="E25" s="72" t="str">
        <f>Concessões!E25</f>
        <v>SP</v>
      </c>
      <c r="F25" s="55">
        <f>Concessões!F25</f>
        <v>30</v>
      </c>
      <c r="G25" s="56">
        <f>Concessões!G25</f>
        <v>50693</v>
      </c>
      <c r="H25" s="55" t="str">
        <f>IF(Concessões!H25="Operacional","Operational","Under Construction")</f>
        <v>Operational</v>
      </c>
      <c r="I25" s="55" t="str">
        <f>Concessões!I25</f>
        <v>n.a.</v>
      </c>
      <c r="J25" s="57">
        <f>Concessões!J25</f>
        <v>77.298775904999019</v>
      </c>
      <c r="K25" s="115">
        <f>Concessões!K25</f>
        <v>77.298775904999019</v>
      </c>
      <c r="L25" s="55" t="str">
        <f>Concessões!L25</f>
        <v>IPCA</v>
      </c>
      <c r="M25" s="58">
        <f>Concessões!M25</f>
        <v>1</v>
      </c>
      <c r="N25" s="55" t="str">
        <f>IF(Concessões!N25="Integral","Fully consolidated","Equity method")</f>
        <v>Fully consolidated</v>
      </c>
      <c r="O25" s="55" t="str">
        <f>IF(Concessões!O25="Lucro Real","Real Profit","Presumed Profit")</f>
        <v>Presumed Profit</v>
      </c>
      <c r="P25" s="103">
        <f>Concessões!P25</f>
        <v>3.6499999999999998E-2</v>
      </c>
      <c r="Q25" s="103" t="str">
        <f>Concessões!Q25</f>
        <v>n.a</v>
      </c>
      <c r="R25" s="103" t="str">
        <f>Concessões!R25</f>
        <v>n.a</v>
      </c>
      <c r="S25" s="103" t="str">
        <f>Concessões!S25</f>
        <v>n.a</v>
      </c>
      <c r="T25" s="59" t="str">
        <f>Concessões!T25</f>
        <v>N.A</v>
      </c>
      <c r="U25" s="59">
        <f>Concessões!U25</f>
        <v>2400</v>
      </c>
      <c r="V25" s="59">
        <f>Concessões!V25</f>
        <v>3</v>
      </c>
    </row>
    <row r="26" spans="1:22" ht="16.5" customHeight="1" thickBot="1" x14ac:dyDescent="0.4">
      <c r="A26" s="39"/>
      <c r="B26" s="49" t="str">
        <f>Concessões!B26</f>
        <v>IE Biguaçu</v>
      </c>
      <c r="C26" s="31" t="str">
        <f>Concessões!C26</f>
        <v>012/2018</v>
      </c>
      <c r="D26" s="50" t="str">
        <f>Concessões!D26</f>
        <v>Biguaçu</v>
      </c>
      <c r="E26" s="50" t="str">
        <f>Concessões!E26</f>
        <v>SC</v>
      </c>
      <c r="F26" s="50">
        <f>Concessões!F26</f>
        <v>30</v>
      </c>
      <c r="G26" s="51">
        <f>Concessões!G26</f>
        <v>54321</v>
      </c>
      <c r="H26" s="50" t="str">
        <f>IF(Concessões!H26="Operacional","Operational","Under Construction")</f>
        <v>Operational</v>
      </c>
      <c r="I26" s="50">
        <f>Concessões!I26</f>
        <v>2029</v>
      </c>
      <c r="J26" s="52">
        <f>Concessões!J26</f>
        <v>56.287888230804604</v>
      </c>
      <c r="K26" s="114">
        <f>Concessões!K26</f>
        <v>56.287888230804604</v>
      </c>
      <c r="L26" s="50" t="str">
        <f>Concessões!L26</f>
        <v>IPCA</v>
      </c>
      <c r="M26" s="60">
        <f>Concessões!M26</f>
        <v>1</v>
      </c>
      <c r="N26" s="50" t="str">
        <f>IF(Concessões!N26="Integral","Fully consolidated","Equity method")</f>
        <v>Fully consolidated</v>
      </c>
      <c r="O26" s="50" t="str">
        <f>IF(Concessões!O26="Lucro Real","Real Profit","Presumed Profit")</f>
        <v>Presumed Profit</v>
      </c>
      <c r="P26" s="102">
        <f>Concessões!P26</f>
        <v>3.6499999999999998E-2</v>
      </c>
      <c r="Q26" s="102" t="str">
        <f>Concessões!Q26</f>
        <v>n.a</v>
      </c>
      <c r="R26" s="102" t="str">
        <f>Concessões!R26</f>
        <v>n.a</v>
      </c>
      <c r="S26" s="102" t="str">
        <f>Concessões!S26</f>
        <v>n.a</v>
      </c>
      <c r="T26" s="53">
        <f>Concessões!T26</f>
        <v>38.14</v>
      </c>
      <c r="U26" s="53">
        <f>Concessões!U26</f>
        <v>300</v>
      </c>
      <c r="V26" s="53">
        <f>Concessões!V26</f>
        <v>1</v>
      </c>
    </row>
    <row r="27" spans="1:22" ht="17.149999999999999" customHeight="1" x14ac:dyDescent="0.35">
      <c r="A27" s="26"/>
      <c r="B27" s="478" t="str">
        <f>Concessões!B27</f>
        <v>IE Jaguar 6</v>
      </c>
      <c r="C27" s="40" t="str">
        <f>Concessões!C27</f>
        <v>143/2001</v>
      </c>
      <c r="D27" s="40" t="str">
        <f>Concessões!D27</f>
        <v>Botucatu-Xavantes</v>
      </c>
      <c r="E27" s="40" t="str">
        <f>Concessões!E27</f>
        <v>SP</v>
      </c>
      <c r="F27" s="480">
        <f>Concessões!F31</f>
        <v>30</v>
      </c>
      <c r="G27" s="42">
        <f>Concessões!G31</f>
        <v>53915</v>
      </c>
      <c r="H27" s="40" t="str">
        <f>IF(Concessões!H27="Operacional","Operational","Under Construction")</f>
        <v>Operational</v>
      </c>
      <c r="I27" s="40" t="str">
        <f>Concessões!I27</f>
        <v>n.a.</v>
      </c>
      <c r="J27" s="43">
        <f>Concessões!J27</f>
        <v>20.643534548997234</v>
      </c>
      <c r="K27" s="112">
        <f>Concessões!K27</f>
        <v>20.643534548997234</v>
      </c>
      <c r="L27" s="40" t="str">
        <f>Concessões!L27</f>
        <v>IGPM</v>
      </c>
      <c r="M27" s="482">
        <f>Concessões!M27</f>
        <v>1</v>
      </c>
      <c r="N27" s="480" t="str">
        <f>IF(Concessões!N27="Integral","Fully consolidated","Equity method")</f>
        <v>Fully consolidated</v>
      </c>
      <c r="O27" s="480" t="str">
        <f>IF(Concessões!O27="Lucro Real","Real Profit","Presumed Profit")</f>
        <v>Presumed Profit</v>
      </c>
      <c r="P27" s="483">
        <f>Concessões!P27</f>
        <v>3.6499999999999998E-2</v>
      </c>
      <c r="Q27" s="483" t="str">
        <f>Concessões!Q27</f>
        <v>n.a</v>
      </c>
      <c r="R27" s="483" t="str">
        <f>Concessões!R27</f>
        <v>n.a</v>
      </c>
      <c r="S27" s="483" t="str">
        <f>Concessões!S27</f>
        <v>n.a</v>
      </c>
      <c r="T27" s="44">
        <f>Concessões!T27</f>
        <v>137.30000000000001</v>
      </c>
      <c r="U27" s="44" t="str">
        <f>Concessões!U27</f>
        <v>N.A</v>
      </c>
      <c r="V27" s="44" t="str">
        <f>Concessões!V27</f>
        <v>N.A</v>
      </c>
    </row>
    <row r="28" spans="1:22" ht="16.5" customHeight="1" thickBot="1" x14ac:dyDescent="0.4">
      <c r="A28" s="26"/>
      <c r="B28" s="479"/>
      <c r="C28" s="45" t="str">
        <f>Concessões!C28</f>
        <v>042/2017</v>
      </c>
      <c r="D28" s="45" t="str">
        <f>Concessões!D28</f>
        <v>Bauru</v>
      </c>
      <c r="E28" s="45" t="str">
        <f>Concessões!E28</f>
        <v>SP</v>
      </c>
      <c r="F28" s="481">
        <f>Concessões!F32</f>
        <v>0</v>
      </c>
      <c r="G28" s="46">
        <f>Concessões!G32</f>
        <v>54867</v>
      </c>
      <c r="H28" s="45" t="str">
        <f>IF(Concessões!H28="Operacional","Operational","Under Construction")</f>
        <v>Operational</v>
      </c>
      <c r="I28" s="45">
        <f>Concessões!I28</f>
        <v>2028</v>
      </c>
      <c r="J28" s="47">
        <f>Concessões!J28</f>
        <v>16.151413423689903</v>
      </c>
      <c r="K28" s="113">
        <f>Concessões!K28</f>
        <v>16.151413423689903</v>
      </c>
      <c r="L28" s="45" t="str">
        <f>Concessões!L28</f>
        <v>IPCA</v>
      </c>
      <c r="M28" s="481">
        <f>Concessões!M28</f>
        <v>0</v>
      </c>
      <c r="N28" s="481" t="str">
        <f>IF(Concessões!N28="Integral","Fully consolidated","Equity method")</f>
        <v>Equity method</v>
      </c>
      <c r="O28" s="481" t="str">
        <f>IF(Concessões!O28="Lucro Real","Real Profit","Presumed Profit")</f>
        <v>Presumed Profit</v>
      </c>
      <c r="P28" s="484">
        <f>Concessões!P28</f>
        <v>0</v>
      </c>
      <c r="Q28" s="484"/>
      <c r="R28" s="484"/>
      <c r="S28" s="484"/>
      <c r="T28" s="48" t="str">
        <f>Concessões!T28</f>
        <v>N.A</v>
      </c>
      <c r="U28" s="48">
        <f>Concessões!U28</f>
        <v>250</v>
      </c>
      <c r="V28" s="48" t="str">
        <f>Concessões!V28</f>
        <v>N.A</v>
      </c>
    </row>
    <row r="29" spans="1:22" ht="16.5" customHeight="1" x14ac:dyDescent="0.35">
      <c r="A29" s="26"/>
      <c r="B29" s="485" t="str">
        <f>Concessões!B29</f>
        <v>IE Jaguar 8</v>
      </c>
      <c r="C29" s="31" t="str">
        <f>Concessões!C29</f>
        <v>011/2022</v>
      </c>
      <c r="D29" s="66" t="str">
        <f>Concessões!D29</f>
        <v>Jacarandá</v>
      </c>
      <c r="E29" s="66" t="str">
        <f>Concessões!E29</f>
        <v>SP</v>
      </c>
      <c r="F29" s="474">
        <f>Concessões!F36</f>
        <v>30</v>
      </c>
      <c r="G29" s="67">
        <f>Concessões!G36</f>
        <v>54322</v>
      </c>
      <c r="H29" s="31" t="str">
        <f>IF(Concessões!H29="Operacional","Operational","Under Construction")</f>
        <v>Operational</v>
      </c>
      <c r="I29" s="66">
        <f>Concessões!I29</f>
        <v>2028</v>
      </c>
      <c r="J29" s="68">
        <f>Concessões!J29</f>
        <v>16.129841075719565</v>
      </c>
      <c r="K29" s="117">
        <f>Concessões!K29</f>
        <v>16.129841075719565</v>
      </c>
      <c r="L29" s="66" t="str">
        <f>Concessões!L29</f>
        <v>IPCA</v>
      </c>
      <c r="M29" s="475">
        <f>Concessões!M29</f>
        <v>1</v>
      </c>
      <c r="N29" s="474" t="str">
        <f>IF(Concessões!N29="Integral","Fully consolidated","Equity method")</f>
        <v>Fully consolidated</v>
      </c>
      <c r="O29" s="474" t="str">
        <f>IF(Concessões!O29="Lucro Real","Real Profit","Presumed Profit")</f>
        <v>Presumed Profit</v>
      </c>
      <c r="P29" s="476">
        <f>Concessões!P29</f>
        <v>3.6499999999999998E-2</v>
      </c>
      <c r="Q29" s="476" t="str">
        <f>Concessões!Q29</f>
        <v>n.a</v>
      </c>
      <c r="R29" s="476" t="str">
        <f>Concessões!R29</f>
        <v>n.a</v>
      </c>
      <c r="S29" s="476" t="str">
        <f>Concessões!S29</f>
        <v>n.a</v>
      </c>
      <c r="T29" s="69" t="str">
        <f>Concessões!T29</f>
        <v>N.A</v>
      </c>
      <c r="U29" s="69">
        <f>Concessões!U29</f>
        <v>600</v>
      </c>
      <c r="V29" s="69" t="str">
        <f>Concessões!V29</f>
        <v>N.A</v>
      </c>
    </row>
    <row r="30" spans="1:22" ht="16.5" customHeight="1" thickBot="1" x14ac:dyDescent="0.4">
      <c r="A30" s="26"/>
      <c r="B30" s="486"/>
      <c r="C30" s="31" t="str">
        <f>Concessões!C30</f>
        <v>012/2008</v>
      </c>
      <c r="D30" s="35" t="str">
        <f>Concessões!D30</f>
        <v>Piratininga</v>
      </c>
      <c r="E30" s="35" t="str">
        <f>Concessões!E30</f>
        <v>SP</v>
      </c>
      <c r="F30" s="467">
        <f>Concessões!F37</f>
        <v>0</v>
      </c>
      <c r="G30" s="36">
        <f>Concessões!G37</f>
        <v>51844</v>
      </c>
      <c r="H30" s="35" t="str">
        <f>IF(Concessões!H30="Operacional","Operational","Under Construction")</f>
        <v>Operational</v>
      </c>
      <c r="I30" s="35" t="str">
        <f>Concessões!I30</f>
        <v>n.a.</v>
      </c>
      <c r="J30" s="37">
        <f>Concessões!J30</f>
        <v>16.039714209697415</v>
      </c>
      <c r="K30" s="111">
        <f>Concessões!K30</f>
        <v>16.039714209697415</v>
      </c>
      <c r="L30" s="35" t="str">
        <f>Concessões!L30</f>
        <v>IPCA</v>
      </c>
      <c r="M30" s="467">
        <f>Concessões!M30</f>
        <v>0</v>
      </c>
      <c r="N30" s="467" t="str">
        <f>IF(Concessões!N30="Integral","Fully consolidated","Equity method")</f>
        <v>Equity method</v>
      </c>
      <c r="O30" s="467" t="str">
        <f>IF(Concessões!O30="Lucro Real","Real Profit","Presumed Profit")</f>
        <v>Presumed Profit</v>
      </c>
      <c r="P30" s="477">
        <f>Concessões!P30</f>
        <v>0</v>
      </c>
      <c r="Q30" s="477"/>
      <c r="R30" s="477"/>
      <c r="S30" s="477"/>
      <c r="T30" s="38">
        <f>Concessões!T30</f>
        <v>0.72</v>
      </c>
      <c r="U30" s="38">
        <f>Concessões!U30</f>
        <v>1200</v>
      </c>
      <c r="V30" s="38">
        <f>Concessões!V30</f>
        <v>1</v>
      </c>
    </row>
    <row r="31" spans="1:22" ht="16.5" customHeight="1" x14ac:dyDescent="0.35">
      <c r="A31" s="26"/>
      <c r="B31" s="478" t="str">
        <f>Concessões!B31</f>
        <v>IE Tibagi</v>
      </c>
      <c r="C31" s="40" t="str">
        <f>Concessões!C31</f>
        <v>026/2017</v>
      </c>
      <c r="D31" s="40" t="str">
        <f>Concessões!D31</f>
        <v>Tibagi</v>
      </c>
      <c r="E31" s="40" t="str">
        <f>Concessões!E31</f>
        <v>SP</v>
      </c>
      <c r="F31" s="480">
        <f>Concessões!F34</f>
        <v>30</v>
      </c>
      <c r="G31" s="42">
        <f>Concessões!G34</f>
        <v>50693</v>
      </c>
      <c r="H31" s="40" t="str">
        <f>IF(Concessões!H31="Operacional","Operational","Under Construction")</f>
        <v>Operational</v>
      </c>
      <c r="I31" s="40">
        <f>Concessões!I31</f>
        <v>2028</v>
      </c>
      <c r="J31" s="43">
        <f>Concessões!J31</f>
        <v>23.670081096464052</v>
      </c>
      <c r="K31" s="112">
        <f>Concessões!K31</f>
        <v>23.670081096464052</v>
      </c>
      <c r="L31" s="480" t="str">
        <f>Concessões!L31</f>
        <v>IPCA</v>
      </c>
      <c r="M31" s="482">
        <f>Concessões!M31</f>
        <v>1</v>
      </c>
      <c r="N31" s="480" t="str">
        <f>IF(Concessões!N31="Integral","Fully consolidated","Equity method")</f>
        <v>Fully consolidated</v>
      </c>
      <c r="O31" s="480" t="str">
        <f>IF(Concessões!O31="Lucro Real","Real Profit","Presumed Profit")</f>
        <v>Presumed Profit</v>
      </c>
      <c r="P31" s="483">
        <f>Concessões!P31</f>
        <v>3.6499999999999998E-2</v>
      </c>
      <c r="Q31" s="483" t="str">
        <f>Concessões!Q31</f>
        <v>n.a</v>
      </c>
      <c r="R31" s="483" t="str">
        <f>Concessões!R31</f>
        <v>n.a</v>
      </c>
      <c r="S31" s="483" t="str">
        <f>Concessões!S31</f>
        <v>n.a</v>
      </c>
      <c r="T31" s="44">
        <f>Concessões!T31</f>
        <v>17</v>
      </c>
      <c r="U31" s="44">
        <f>Concessões!U31</f>
        <v>500</v>
      </c>
      <c r="V31" s="44" t="str">
        <f>Concessões!V31</f>
        <v>N.A</v>
      </c>
    </row>
    <row r="32" spans="1:22" ht="16.399999999999999" customHeight="1" x14ac:dyDescent="0.35">
      <c r="A32" s="26"/>
      <c r="B32" s="497"/>
      <c r="C32" s="62" t="str">
        <f>Concessões!C32</f>
        <v>006/2020</v>
      </c>
      <c r="D32" s="62" t="str">
        <f>Concessões!D32</f>
        <v>Três lagoas</v>
      </c>
      <c r="E32" s="62" t="str">
        <f>Concessões!E32</f>
        <v>MS / SP</v>
      </c>
      <c r="F32" s="498"/>
      <c r="G32" s="63">
        <f>Concessões!G35</f>
        <v>50693</v>
      </c>
      <c r="H32" s="62" t="str">
        <f>IF(Concessões!H32="Operacional","Operational","Under Construction")</f>
        <v>Operational</v>
      </c>
      <c r="I32" s="62">
        <f>Concessões!I32</f>
        <v>2025</v>
      </c>
      <c r="J32" s="64">
        <f>Concessões!J32</f>
        <v>7.45860083</v>
      </c>
      <c r="K32" s="116">
        <f>Concessões!K32</f>
        <v>7.45860083</v>
      </c>
      <c r="L32" s="498"/>
      <c r="M32" s="498"/>
      <c r="N32" s="498"/>
      <c r="O32" s="498" t="str">
        <f>IF(Concessões!O32="Lucro Real","Real Profit","Presumed Profit")</f>
        <v>Presumed Profit</v>
      </c>
      <c r="P32" s="499"/>
      <c r="Q32" s="499"/>
      <c r="R32" s="499"/>
      <c r="S32" s="499"/>
      <c r="T32" s="65">
        <f>Concessões!T32</f>
        <v>37</v>
      </c>
      <c r="U32" s="65" t="str">
        <f>Concessões!U32</f>
        <v>N.A</v>
      </c>
      <c r="V32" s="65" t="str">
        <f>Concessões!V32</f>
        <v>N.A</v>
      </c>
    </row>
    <row r="33" spans="1:22" ht="16.399999999999999" customHeight="1" thickBot="1" x14ac:dyDescent="0.4">
      <c r="A33" s="26"/>
      <c r="B33" s="479"/>
      <c r="C33" s="45" t="str">
        <f>Concessões!C33</f>
        <v>014/2023</v>
      </c>
      <c r="D33" s="45" t="str">
        <f>Concessões!D33</f>
        <v>Água Vermelha</v>
      </c>
      <c r="E33" s="45" t="str">
        <f>Concessões!E33</f>
        <v>MG</v>
      </c>
      <c r="F33" s="481"/>
      <c r="G33" s="46">
        <f>Concessões!G36</f>
        <v>54322</v>
      </c>
      <c r="H33" s="45" t="str">
        <f>IF(Concessões!H33="Operacional","Operational","Under Construction")</f>
        <v>Operational</v>
      </c>
      <c r="I33" s="45">
        <f>Concessões!I33</f>
        <v>2029</v>
      </c>
      <c r="J33" s="47">
        <f>Concessões!J33</f>
        <v>8.4597039392108826</v>
      </c>
      <c r="K33" s="113">
        <f>Concessões!K33</f>
        <v>8.4597039392108826</v>
      </c>
      <c r="L33" s="481"/>
      <c r="M33" s="481"/>
      <c r="N33" s="481"/>
      <c r="O33" s="481" t="str">
        <f>IF(Concessões!O33="Lucro Real","Real Profit","Presumed Profit")</f>
        <v>Presumed Profit</v>
      </c>
      <c r="P33" s="484"/>
      <c r="Q33" s="484"/>
      <c r="R33" s="484"/>
      <c r="S33" s="484"/>
      <c r="T33" s="48">
        <f>Concessões!T33</f>
        <v>0</v>
      </c>
      <c r="U33" s="48">
        <f>Concessões!U33</f>
        <v>400</v>
      </c>
      <c r="V33" s="48" t="str">
        <f>Concessões!V33</f>
        <v>N.A</v>
      </c>
    </row>
    <row r="34" spans="1:22" ht="16.5" customHeight="1" x14ac:dyDescent="0.35">
      <c r="A34" s="26"/>
      <c r="B34" s="472" t="str">
        <f>Concessões!B34</f>
        <v>IESUL</v>
      </c>
      <c r="C34" s="31" t="str">
        <f>Concessões!C34</f>
        <v>016/2008</v>
      </c>
      <c r="D34" s="66" t="str">
        <f>Concessões!D34</f>
        <v>Forquilinha</v>
      </c>
      <c r="E34" s="66" t="str">
        <f>Concessões!E34</f>
        <v>SC</v>
      </c>
      <c r="F34" s="474">
        <f>Concessões!F27</f>
        <v>30</v>
      </c>
      <c r="G34" s="67">
        <f>Concessões!G27</f>
        <v>48202</v>
      </c>
      <c r="H34" s="66" t="str">
        <f>IF(Concessões!H34="Operacional","Operational","Under Construction")</f>
        <v>Operational</v>
      </c>
      <c r="I34" s="474" t="str">
        <f>Concessões!I34</f>
        <v>n.a.</v>
      </c>
      <c r="J34" s="68">
        <f>Concessões!J34</f>
        <v>20.445175829766303</v>
      </c>
      <c r="K34" s="117">
        <f>Concessões!K34</f>
        <v>20.445175829766303</v>
      </c>
      <c r="L34" s="474" t="str">
        <f>Concessões!L34</f>
        <v>IPCA</v>
      </c>
      <c r="M34" s="475">
        <f>Concessões!M34</f>
        <v>1</v>
      </c>
      <c r="N34" s="474" t="str">
        <f>IF(Concessões!N34="Integral","Fully consolidated","Equity method")</f>
        <v>Fully consolidated</v>
      </c>
      <c r="O34" s="474" t="str">
        <f>IF(Concessões!O34="Lucro Real","Real Profit","Presumed Profit")</f>
        <v>Presumed Profit</v>
      </c>
      <c r="P34" s="476">
        <f>Concessões!P34</f>
        <v>3.6499999999999998E-2</v>
      </c>
      <c r="Q34" s="476" t="str">
        <f>Concessões!Q34</f>
        <v>n.a</v>
      </c>
      <c r="R34" s="476" t="str">
        <f>Concessões!R34</f>
        <v>n.a</v>
      </c>
      <c r="S34" s="476" t="str">
        <f>Concessões!S34</f>
        <v>n.a</v>
      </c>
      <c r="T34" s="500">
        <f>Concessões!T34</f>
        <v>178.66</v>
      </c>
      <c r="U34" s="500">
        <f>Concessões!U34</f>
        <v>900</v>
      </c>
      <c r="V34" s="500">
        <f>Concessões!V34</f>
        <v>2</v>
      </c>
    </row>
    <row r="35" spans="1:22" ht="16.5" customHeight="1" thickBot="1" x14ac:dyDescent="0.4">
      <c r="A35" s="26"/>
      <c r="B35" s="473"/>
      <c r="C35" s="31" t="str">
        <f>Concessões!C35</f>
        <v>013/2008</v>
      </c>
      <c r="D35" s="35" t="str">
        <f>Concessões!D35</f>
        <v>Scharlau</v>
      </c>
      <c r="E35" s="35" t="str">
        <f>Concessões!E35</f>
        <v>RS</v>
      </c>
      <c r="F35" s="467">
        <f>Concessões!F28</f>
        <v>0</v>
      </c>
      <c r="G35" s="36">
        <f>Concessões!G28</f>
        <v>53915</v>
      </c>
      <c r="H35" s="35" t="str">
        <f>IF(Concessões!H35="Operacional","Operational","Under Construction")</f>
        <v>Operational</v>
      </c>
      <c r="I35" s="467">
        <f>Concessões!I35</f>
        <v>0</v>
      </c>
      <c r="J35" s="37">
        <f>Concessões!J35</f>
        <v>8.7842146564553882</v>
      </c>
      <c r="K35" s="111">
        <f>Concessões!K35</f>
        <v>8.7842146564553882</v>
      </c>
      <c r="L35" s="467">
        <f>Concessões!L35</f>
        <v>0</v>
      </c>
      <c r="M35" s="467">
        <f>Concessões!M35</f>
        <v>0</v>
      </c>
      <c r="N35" s="467" t="str">
        <f>IF(Concessões!N35="Integral","Fully consolidated","Equity method")</f>
        <v>Equity method</v>
      </c>
      <c r="O35" s="467" t="str">
        <f>IF(Concessões!O35="Lucro Real","Real Profit","Presumed Profit")</f>
        <v>Presumed Profit</v>
      </c>
      <c r="P35" s="477">
        <f>Concessões!P35</f>
        <v>3.6499999999999998E-2</v>
      </c>
      <c r="Q35" s="477"/>
      <c r="R35" s="477"/>
      <c r="S35" s="477"/>
      <c r="T35" s="501">
        <f>Concessões!T35</f>
        <v>0</v>
      </c>
      <c r="U35" s="501">
        <f>Concessões!U35</f>
        <v>0</v>
      </c>
      <c r="V35" s="501">
        <f>Concessões!V35</f>
        <v>0</v>
      </c>
    </row>
    <row r="36" spans="1:22" s="134" customFormat="1" ht="16.5" customHeight="1" x14ac:dyDescent="0.35">
      <c r="A36" s="133"/>
      <c r="B36" s="490" t="str">
        <f>Concessões!B36</f>
        <v>IE Itapura</v>
      </c>
      <c r="C36" s="40" t="str">
        <f>Concessões!C36</f>
        <v>021/2018</v>
      </c>
      <c r="D36" s="40" t="str">
        <f>Concessões!D36</f>
        <v>Lorena</v>
      </c>
      <c r="E36" s="40" t="str">
        <f>Concessões!E36</f>
        <v>SP</v>
      </c>
      <c r="F36" s="480">
        <f>Concessões!F29</f>
        <v>30</v>
      </c>
      <c r="G36" s="42">
        <f>Concessões!G29</f>
        <v>55792</v>
      </c>
      <c r="H36" s="40" t="str">
        <f>IF(Concessões!H36="Operacional","Operational","Under Construction")</f>
        <v>Operational</v>
      </c>
      <c r="I36" s="40">
        <f>Concessões!I36</f>
        <v>2029</v>
      </c>
      <c r="J36" s="43">
        <f>Concessões!J36</f>
        <v>18.289274528771983</v>
      </c>
      <c r="K36" s="112">
        <f>Concessões!K36</f>
        <v>18.289274528771983</v>
      </c>
      <c r="L36" s="480" t="str">
        <f>Concessões!L36</f>
        <v>IPCA</v>
      </c>
      <c r="M36" s="482">
        <f>Concessões!M36</f>
        <v>1</v>
      </c>
      <c r="N36" s="480" t="str">
        <f>IF(Concessões!N36="Integral","Fully consolidated","Equity method")</f>
        <v>Fully consolidated</v>
      </c>
      <c r="O36" s="480" t="str">
        <f>IF(Concessões!O36="Lucro Real","Real Profit","Presumed Profit")</f>
        <v>Presumed Profit</v>
      </c>
      <c r="P36" s="483">
        <f>Concessões!P36</f>
        <v>3.6499999999999998E-2</v>
      </c>
      <c r="Q36" s="483" t="str">
        <f>Concessões!Q36</f>
        <v>n.a</v>
      </c>
      <c r="R36" s="483" t="str">
        <f>Concessões!R36</f>
        <v>n.a</v>
      </c>
      <c r="S36" s="483" t="str">
        <f>Concessões!S36</f>
        <v>n.a</v>
      </c>
      <c r="T36" s="44" t="str">
        <f>Concessões!T36</f>
        <v>N.A</v>
      </c>
      <c r="U36" s="44">
        <f>Concessões!U36</f>
        <v>1200</v>
      </c>
      <c r="V36" s="44">
        <f>Concessões!V36</f>
        <v>1</v>
      </c>
    </row>
    <row r="37" spans="1:22" s="134" customFormat="1" ht="16.5" customHeight="1" thickBot="1" x14ac:dyDescent="0.4">
      <c r="A37" s="133"/>
      <c r="B37" s="491"/>
      <c r="C37" s="45" t="str">
        <f>Concessões!C37</f>
        <v>021/2011</v>
      </c>
      <c r="D37" s="45" t="str">
        <f>Concessões!D37</f>
        <v>Itapeti</v>
      </c>
      <c r="E37" s="45" t="str">
        <f>Concessões!E37</f>
        <v>SP</v>
      </c>
      <c r="F37" s="481">
        <f>Concessões!F30</f>
        <v>0</v>
      </c>
      <c r="G37" s="46">
        <f>Concessões!G30</f>
        <v>50693</v>
      </c>
      <c r="H37" s="45" t="str">
        <f>IF(Concessões!H37="Operacional","Operational","Under Construction")</f>
        <v>Operational</v>
      </c>
      <c r="I37" s="45">
        <f>Concessões!I37</f>
        <v>2027</v>
      </c>
      <c r="J37" s="47">
        <f>Concessões!J37</f>
        <v>9.2375544098375642</v>
      </c>
      <c r="K37" s="113">
        <f>Concessões!K37</f>
        <v>9.2375544098375642</v>
      </c>
      <c r="L37" s="481">
        <f>Concessões!L37</f>
        <v>0</v>
      </c>
      <c r="M37" s="481">
        <f>Concessões!M37</f>
        <v>0</v>
      </c>
      <c r="N37" s="481" t="str">
        <f>IF(Concessões!N37="Integral","Fully consolidated","Equity method")</f>
        <v>Equity method</v>
      </c>
      <c r="O37" s="481" t="str">
        <f>IF(Concessões!O37="Lucro Real","Real Profit","Presumed Profit")</f>
        <v>Presumed Profit</v>
      </c>
      <c r="P37" s="484">
        <f>Concessões!P37</f>
        <v>3.6499999999999998E-2</v>
      </c>
      <c r="Q37" s="484"/>
      <c r="R37" s="484"/>
      <c r="S37" s="484"/>
      <c r="T37" s="48" t="str">
        <f>Concessões!T37</f>
        <v>N.A</v>
      </c>
      <c r="U37" s="48">
        <f>Concessões!U37</f>
        <v>800</v>
      </c>
      <c r="V37" s="48" t="str">
        <f>Concessões!V37</f>
        <v>N.A</v>
      </c>
    </row>
    <row r="38" spans="1:22" ht="16.5" customHeight="1" thickBot="1" x14ac:dyDescent="0.4">
      <c r="A38" s="26"/>
      <c r="B38" s="135" t="str">
        <f>Concessões!B38</f>
        <v>IE Pinheiros</v>
      </c>
      <c r="C38" s="31" t="str">
        <f>Concessões!C38</f>
        <v>018/2008</v>
      </c>
      <c r="D38" s="50" t="str">
        <f>Concessões!D38</f>
        <v>Atibaia II</v>
      </c>
      <c r="E38" s="50" t="str">
        <f>Concessões!E38</f>
        <v>SP</v>
      </c>
      <c r="F38" s="50">
        <f>Concessões!F38</f>
        <v>30</v>
      </c>
      <c r="G38" s="51">
        <f>Concessões!G38</f>
        <v>50693</v>
      </c>
      <c r="H38" s="50" t="str">
        <f>IF(Concessões!H38="Operacional","Operational","Under Construction")</f>
        <v>Operational</v>
      </c>
      <c r="I38" s="50" t="str">
        <f>Concessões!I38</f>
        <v>n.a.</v>
      </c>
      <c r="J38" s="52">
        <f>Concessões!J38</f>
        <v>8.5566029522407838</v>
      </c>
      <c r="K38" s="114">
        <f>Concessões!K38</f>
        <v>8.5566029522407838</v>
      </c>
      <c r="L38" s="50" t="str">
        <f>Concessões!L38</f>
        <v>IPCA</v>
      </c>
      <c r="M38" s="60">
        <f>Concessões!M38</f>
        <v>1</v>
      </c>
      <c r="N38" s="50" t="str">
        <f>IF(Concessões!N38="Integral","Fully consolidated","Equity method")</f>
        <v>Fully consolidated</v>
      </c>
      <c r="O38" s="50" t="str">
        <f>IF(Concessões!O38="Lucro Real","Real Profit","Presumed Profit")</f>
        <v>Presumed Profit</v>
      </c>
      <c r="P38" s="130">
        <f>Concessões!P38</f>
        <v>3.6499999999999998E-2</v>
      </c>
      <c r="Q38" s="130" t="str">
        <f>Concessões!Q38</f>
        <v>n.a</v>
      </c>
      <c r="R38" s="130" t="str">
        <f>Concessões!R38</f>
        <v>n.a</v>
      </c>
      <c r="S38" s="130" t="str">
        <f>Concessões!S38</f>
        <v>n.a</v>
      </c>
      <c r="T38" s="53" t="str">
        <f>Concessões!T38</f>
        <v>N.A</v>
      </c>
      <c r="U38" s="53">
        <f>Concessões!U38</f>
        <v>400</v>
      </c>
      <c r="V38" s="53">
        <f>Concessões!V38</f>
        <v>1</v>
      </c>
    </row>
    <row r="39" spans="1:22" ht="16.5" customHeight="1" x14ac:dyDescent="0.35">
      <c r="A39" s="39"/>
      <c r="B39" s="490" t="str">
        <f>Concessões!B39</f>
        <v>IE Madeira</v>
      </c>
      <c r="C39" s="40" t="str">
        <f>Concessões!C39</f>
        <v>013/2009</v>
      </c>
      <c r="D39" s="41" t="str">
        <f>Concessões!D39</f>
        <v>Lote D</v>
      </c>
      <c r="E39" s="480" t="str">
        <f>Concessões!E39</f>
        <v>RO / SP / MT / MG / GO</v>
      </c>
      <c r="F39" s="480">
        <f>Concessões!F39</f>
        <v>30</v>
      </c>
      <c r="G39" s="42">
        <f>Concessões!G39</f>
        <v>50826</v>
      </c>
      <c r="H39" s="40" t="str">
        <f>IF(Concessões!H39="Operacional","Operational","Under Construction")</f>
        <v>Operational</v>
      </c>
      <c r="I39" s="480" t="str">
        <f>Concessões!I39</f>
        <v>n.a.</v>
      </c>
      <c r="J39" s="43">
        <f>Concessões!J39</f>
        <v>408.3661035365073</v>
      </c>
      <c r="K39" s="112">
        <f>Concessões!K39</f>
        <v>208.26671280361873</v>
      </c>
      <c r="L39" s="480" t="str">
        <f>Concessões!L39</f>
        <v>IPCA</v>
      </c>
      <c r="M39" s="480" t="str">
        <f>Concessões!M39</f>
        <v>ISA ENERGIA BRASIL 51% / Furnas 24,5% / Chesf 24,5%</v>
      </c>
      <c r="N39" s="480" t="str">
        <f>IF(Concessões!N39="Integral","Fully consolidated","Equity method")</f>
        <v>Equity method</v>
      </c>
      <c r="O39" s="480" t="str">
        <f>IF(Concessões!O39="Lucro Real","Real Profit","Presumed Profit")</f>
        <v>Real Profit</v>
      </c>
      <c r="P39" s="483">
        <f>Concessões!P39</f>
        <v>9.2499999999999999E-2</v>
      </c>
      <c r="Q39" s="483">
        <f>Concessões!Q39</f>
        <v>0.60171607949953698</v>
      </c>
      <c r="R39" s="494">
        <f>Concessões!R39</f>
        <v>45292</v>
      </c>
      <c r="S39" s="494">
        <f>Concessões!S39</f>
        <v>48914</v>
      </c>
      <c r="T39" s="492">
        <f>Concessões!T39</f>
        <v>2385</v>
      </c>
      <c r="U39" s="492">
        <f>Concessões!U39</f>
        <v>7464</v>
      </c>
      <c r="V39" s="492" t="str">
        <f>Concessões!V39</f>
        <v>N.A</v>
      </c>
    </row>
    <row r="40" spans="1:22" ht="16.5" customHeight="1" thickBot="1" x14ac:dyDescent="0.4">
      <c r="A40" s="39"/>
      <c r="B40" s="491"/>
      <c r="C40" s="45" t="str">
        <f>Concessões!C40</f>
        <v>015/2009</v>
      </c>
      <c r="D40" s="45" t="str">
        <f>Concessões!D40</f>
        <v>Lote F</v>
      </c>
      <c r="E40" s="481"/>
      <c r="F40" s="481">
        <f>Concessões!F40</f>
        <v>0</v>
      </c>
      <c r="G40" s="46">
        <f>Concessões!G40</f>
        <v>50826</v>
      </c>
      <c r="H40" s="45" t="str">
        <f>IF(Concessões!H40="Operacional","Operational","Under Construction")</f>
        <v>Operational</v>
      </c>
      <c r="I40" s="481">
        <f>Concessões!I40</f>
        <v>0</v>
      </c>
      <c r="J40" s="47">
        <f>Concessões!J40</f>
        <v>352.35557108627575</v>
      </c>
      <c r="K40" s="113">
        <f>Concessões!K40</f>
        <v>179.70134125400062</v>
      </c>
      <c r="L40" s="481">
        <f>Concessões!L40</f>
        <v>0</v>
      </c>
      <c r="M40" s="481">
        <f>Concessões!M40</f>
        <v>0</v>
      </c>
      <c r="N40" s="481"/>
      <c r="O40" s="481"/>
      <c r="P40" s="484">
        <f>Concessões!P40</f>
        <v>0</v>
      </c>
      <c r="Q40" s="484"/>
      <c r="R40" s="495"/>
      <c r="S40" s="495"/>
      <c r="T40" s="493">
        <f>Concessões!T40</f>
        <v>0</v>
      </c>
      <c r="U40" s="493">
        <f>Concessões!U40</f>
        <v>0</v>
      </c>
      <c r="V40" s="493">
        <f>Concessões!V40</f>
        <v>0</v>
      </c>
    </row>
    <row r="41" spans="1:22" ht="16.5" customHeight="1" thickBot="1" x14ac:dyDescent="0.4">
      <c r="A41" s="26"/>
      <c r="B41" s="49" t="str">
        <f>Concessões!B41</f>
        <v>IE Ivaí</v>
      </c>
      <c r="C41" s="31" t="str">
        <f>Concessões!C41</f>
        <v>022/2017</v>
      </c>
      <c r="D41" s="50" t="str">
        <f>Concessões!D41</f>
        <v>Ivaí</v>
      </c>
      <c r="E41" s="50" t="str">
        <f>Concessões!E41</f>
        <v>PR</v>
      </c>
      <c r="F41" s="50">
        <f>Concessões!F41</f>
        <v>30</v>
      </c>
      <c r="G41" s="51">
        <f>Concessões!G41</f>
        <v>53915</v>
      </c>
      <c r="H41" s="50" t="str">
        <f>IF(Concessões!H41="Operacional","Operational","Under Construction")</f>
        <v>Operational</v>
      </c>
      <c r="I41" s="50">
        <f>Concessões!I41</f>
        <v>2028</v>
      </c>
      <c r="J41" s="114">
        <f>Concessões!J41</f>
        <v>398.73023730158116</v>
      </c>
      <c r="K41" s="114">
        <f>Concessões!K41</f>
        <v>199.36511865079058</v>
      </c>
      <c r="L41" s="50" t="str">
        <f>Concessões!L41</f>
        <v>IPCA</v>
      </c>
      <c r="M41" s="50" t="str">
        <f>Concessões!M41</f>
        <v>50% / TAESA 50%</v>
      </c>
      <c r="N41" s="50" t="str">
        <f>IF(Concessões!N41="Integral","Fully consolidated","Equity method")</f>
        <v>Equity method</v>
      </c>
      <c r="O41" s="50" t="str">
        <f>IF(Concessões!O41="Lucro Real","Real Profit","Presumed Profit")</f>
        <v>Real Profit</v>
      </c>
      <c r="P41" s="102">
        <f>Concessões!P41</f>
        <v>9.2499999999999999E-2</v>
      </c>
      <c r="Q41" s="102" t="str">
        <f>Concessões!Q41</f>
        <v>n.a</v>
      </c>
      <c r="R41" s="102" t="str">
        <f>Concessões!R41</f>
        <v>n.a</v>
      </c>
      <c r="S41" s="102" t="str">
        <f>Concessões!S41</f>
        <v>n.a</v>
      </c>
      <c r="T41" s="53">
        <f>Concessões!T41</f>
        <v>593.07000000000005</v>
      </c>
      <c r="U41" s="53">
        <f>Concessões!U41</f>
        <v>2988</v>
      </c>
      <c r="V41" s="53">
        <f>Concessões!V41</f>
        <v>1</v>
      </c>
    </row>
    <row r="42" spans="1:22" ht="16.5" customHeight="1" thickBot="1" x14ac:dyDescent="0.4">
      <c r="A42" s="26"/>
      <c r="B42" s="61" t="str">
        <f>Concessões!B42</f>
        <v>IE Aimorés</v>
      </c>
      <c r="C42" s="62" t="str">
        <f>Concessões!C42</f>
        <v>004/2017</v>
      </c>
      <c r="D42" s="62" t="str">
        <f>Concessões!D42</f>
        <v>Aimorés</v>
      </c>
      <c r="E42" s="62" t="str">
        <f>Concessões!E42</f>
        <v>MG</v>
      </c>
      <c r="F42" s="62">
        <f>Concessões!F42</f>
        <v>30</v>
      </c>
      <c r="G42" s="63">
        <f>Concessões!G42</f>
        <v>53733</v>
      </c>
      <c r="H42" s="62" t="str">
        <f>IF(Concessões!H42="Operacional","Operational","Under Construction")</f>
        <v>Operational</v>
      </c>
      <c r="I42" s="62">
        <f>Concessões!I42</f>
        <v>2027</v>
      </c>
      <c r="J42" s="116">
        <f>Concessões!J42</f>
        <v>108.78473229920459</v>
      </c>
      <c r="K42" s="116">
        <f>Concessões!K42</f>
        <v>54.392366149602296</v>
      </c>
      <c r="L42" s="62" t="str">
        <f>Concessões!L42</f>
        <v>IPCA</v>
      </c>
      <c r="M42" s="62" t="str">
        <f>Concessões!M42</f>
        <v>50% / TAESA 50%</v>
      </c>
      <c r="N42" s="62" t="str">
        <f>IF(Concessões!N42="Integral","Fully consolidated","Equity method")</f>
        <v>Equity method</v>
      </c>
      <c r="O42" s="62" t="str">
        <f>IF(Concessões!O42="Lucro Real","Real Profit","Presumed Profit")</f>
        <v>Real Profit</v>
      </c>
      <c r="P42" s="104">
        <f>Concessões!P42</f>
        <v>9.2499999999999999E-2</v>
      </c>
      <c r="Q42" s="104">
        <f>Concessões!Q42</f>
        <v>1</v>
      </c>
      <c r="R42" s="105">
        <f>Concessões!R42</f>
        <v>44927</v>
      </c>
      <c r="S42" s="105">
        <f>Concessões!S42</f>
        <v>48549</v>
      </c>
      <c r="T42" s="65">
        <f>Concessões!T42</f>
        <v>208</v>
      </c>
      <c r="U42" s="65" t="str">
        <f>Concessões!U42</f>
        <v>N.A</v>
      </c>
      <c r="V42" s="65" t="str">
        <f>Concessões!V42</f>
        <v>N.A</v>
      </c>
    </row>
    <row r="43" spans="1:22" ht="16.5" customHeight="1" thickBot="1" x14ac:dyDescent="0.4">
      <c r="A43" s="26"/>
      <c r="B43" s="49" t="str">
        <f>Concessões!B43</f>
        <v>IE Garanhuns</v>
      </c>
      <c r="C43" s="31" t="str">
        <f>Concessões!C43</f>
        <v>022/2011</v>
      </c>
      <c r="D43" s="50" t="str">
        <f>Concessões!D43</f>
        <v>Garanhuns</v>
      </c>
      <c r="E43" s="50" t="str">
        <f>Concessões!E43</f>
        <v>PE / AL / PB</v>
      </c>
      <c r="F43" s="50">
        <f>Concessões!F43</f>
        <v>30</v>
      </c>
      <c r="G43" s="51">
        <f>Concessões!G43</f>
        <v>51844</v>
      </c>
      <c r="H43" s="50" t="str">
        <f>IF(Concessões!H43="Operacional","Operational","Under Construction")</f>
        <v>Operational</v>
      </c>
      <c r="I43" s="50">
        <f>Concessões!I43</f>
        <v>2027</v>
      </c>
      <c r="J43" s="52">
        <f>Concessões!J43</f>
        <v>157.85681581753673</v>
      </c>
      <c r="K43" s="114">
        <f>Concessões!K43</f>
        <v>80.506976066943736</v>
      </c>
      <c r="L43" s="50" t="str">
        <f>Concessões!L43</f>
        <v>IPCA</v>
      </c>
      <c r="M43" s="50" t="str">
        <f>Concessões!M43</f>
        <v>51% / Chesf 49%</v>
      </c>
      <c r="N43" s="50" t="str">
        <f>IF(Concessões!N43="Integral","Fully consolidated","Equity method")</f>
        <v>Equity method</v>
      </c>
      <c r="O43" s="50" t="str">
        <f>IF(Concessões!O43="Lucro Real","Real Profit","Presumed Profit")</f>
        <v>Real Profit</v>
      </c>
      <c r="P43" s="130">
        <f>Concessões!P43</f>
        <v>9.2499999999999999E-2</v>
      </c>
      <c r="Q43" s="130">
        <f>Concessões!Q43</f>
        <v>1</v>
      </c>
      <c r="R43" s="131">
        <f>Concessões!R43</f>
        <v>42370</v>
      </c>
      <c r="S43" s="131">
        <f>Concessões!S43</f>
        <v>45992</v>
      </c>
      <c r="T43" s="53">
        <f>Concessões!T43</f>
        <v>633</v>
      </c>
      <c r="U43" s="53">
        <f>Concessões!U43</f>
        <v>2100</v>
      </c>
      <c r="V43" s="53">
        <f>Concessões!V43</f>
        <v>2</v>
      </c>
    </row>
    <row r="44" spans="1:22" ht="15" customHeight="1" thickBot="1" x14ac:dyDescent="0.4">
      <c r="A44" s="26"/>
      <c r="B44" s="61" t="str">
        <f>Concessões!B44</f>
        <v>IE Paraguaçu</v>
      </c>
      <c r="C44" s="62" t="str">
        <f>Concessões!C44</f>
        <v>003/2017</v>
      </c>
      <c r="D44" s="62" t="str">
        <f>Concessões!D44</f>
        <v>Paraguaçu</v>
      </c>
      <c r="E44" s="62" t="str">
        <f>Concessões!E44</f>
        <v>BA / MG</v>
      </c>
      <c r="F44" s="62">
        <f>Concessões!F44</f>
        <v>30</v>
      </c>
      <c r="G44" s="63">
        <f>Concessões!G44</f>
        <v>53733</v>
      </c>
      <c r="H44" s="62" t="str">
        <f>IF(Concessões!H44="Operacional","Operational","Under Construction")</f>
        <v>Operational</v>
      </c>
      <c r="I44" s="62">
        <f>Concessões!I44</f>
        <v>2027</v>
      </c>
      <c r="J44" s="64">
        <f>Concessões!J44</f>
        <v>162.36520481872631</v>
      </c>
      <c r="K44" s="116">
        <f>Concessões!K44</f>
        <v>81.182602409363156</v>
      </c>
      <c r="L44" s="62" t="str">
        <f>Concessões!L44</f>
        <v>IPCA</v>
      </c>
      <c r="M44" s="62" t="str">
        <f>Concessões!M44</f>
        <v>50% / TAESA 50%</v>
      </c>
      <c r="N44" s="62" t="str">
        <f>IF(Concessões!N44="Integral","Fully consolidated","Equity method")</f>
        <v>Equity method</v>
      </c>
      <c r="O44" s="62" t="str">
        <f>IF(Concessões!O44="Lucro Real","Real Profit","Presumed Profit")</f>
        <v>Real Profit</v>
      </c>
      <c r="P44" s="104">
        <f>Concessões!P44</f>
        <v>9.2499999999999999E-2</v>
      </c>
      <c r="Q44" s="104">
        <f>Concessões!Q44</f>
        <v>1</v>
      </c>
      <c r="R44" s="105">
        <f>Concessões!R44</f>
        <v>44927</v>
      </c>
      <c r="S44" s="105">
        <f>Concessões!S44</f>
        <v>48549</v>
      </c>
      <c r="T44" s="65">
        <f>Concessões!T44</f>
        <v>338</v>
      </c>
      <c r="U44" s="65" t="str">
        <f>Concessões!U44</f>
        <v>N.A</v>
      </c>
      <c r="V44" s="65" t="str">
        <f>Concessões!V44</f>
        <v>N.A</v>
      </c>
    </row>
    <row r="45" spans="1:22" ht="24" customHeight="1" x14ac:dyDescent="0.35">
      <c r="A45" s="74"/>
      <c r="B45" s="75" t="str">
        <f>"#"&amp;COUNTA(B11:B44)</f>
        <v>#22</v>
      </c>
      <c r="C45" s="496" t="str">
        <f>"Total ("&amp;COUNTA(C11:C44)&amp;")"</f>
        <v>Total (34)</v>
      </c>
      <c r="D45" s="496"/>
      <c r="E45" s="76"/>
      <c r="F45" s="77"/>
      <c r="G45" s="108"/>
      <c r="H45" s="77"/>
      <c r="I45" s="77"/>
      <c r="J45" s="78">
        <f>SUM(J11:J44)</f>
        <v>7158.3831259261506</v>
      </c>
      <c r="K45" s="78">
        <f>SUM(K11:K44)</f>
        <v>6373.3395784006389</v>
      </c>
      <c r="L45" s="77"/>
      <c r="M45" s="77"/>
      <c r="N45" s="77"/>
      <c r="O45" s="77"/>
      <c r="P45" s="77"/>
      <c r="Q45" s="77"/>
      <c r="R45" s="77"/>
      <c r="S45" s="77"/>
      <c r="T45" s="78">
        <f>SUM(T11:T44)</f>
        <v>22999.09</v>
      </c>
      <c r="U45" s="78">
        <f>SUM(U11:U44)</f>
        <v>84873.93</v>
      </c>
      <c r="V45" s="78">
        <f>SUM(V11:V44)</f>
        <v>137</v>
      </c>
    </row>
    <row r="46" spans="1:22" ht="14.9" customHeight="1" x14ac:dyDescent="0.35">
      <c r="A46" s="23"/>
      <c r="B46" s="80"/>
      <c r="J46" s="90">
        <f>J45-Concessões!J45</f>
        <v>0</v>
      </c>
      <c r="K46" s="90">
        <f>K45-Concessões!K45</f>
        <v>0</v>
      </c>
      <c r="T46" s="90">
        <f>T45-Concessões!T45</f>
        <v>0</v>
      </c>
      <c r="U46" s="90">
        <f>U45-Concessões!U45</f>
        <v>0</v>
      </c>
      <c r="V46" s="90">
        <f>V45-Concessões!V45</f>
        <v>0</v>
      </c>
    </row>
    <row r="47" spans="1:22" ht="14.9" customHeight="1" x14ac:dyDescent="0.35">
      <c r="A47" s="1"/>
      <c r="K47" s="93"/>
    </row>
    <row r="48" spans="1:22" ht="14.9" customHeight="1" x14ac:dyDescent="0.35">
      <c r="A48" s="1"/>
      <c r="B48" s="83" t="s">
        <v>162</v>
      </c>
      <c r="C48" s="84"/>
      <c r="D48" s="84"/>
      <c r="E48" s="84"/>
      <c r="F48" s="84"/>
      <c r="G48" s="84"/>
      <c r="H48" s="84"/>
      <c r="I48" s="84"/>
      <c r="J48" s="84"/>
      <c r="K48" s="94">
        <f>SUMIF($H$11:$H$44,$B48,K$11:K$44)</f>
        <v>5803.3544109904451</v>
      </c>
      <c r="L48" s="120"/>
      <c r="M48" s="84"/>
      <c r="N48" s="84"/>
      <c r="O48" s="84"/>
      <c r="P48" s="84"/>
      <c r="Q48" s="84"/>
      <c r="R48" s="84"/>
      <c r="S48" s="84"/>
      <c r="T48" s="85">
        <f t="shared" ref="T48:V49" si="0">SUMIF($H$11:$H$44,$B48,T$11:T$44)</f>
        <v>21361.090000000004</v>
      </c>
      <c r="U48" s="85">
        <f t="shared" si="0"/>
        <v>84673.93</v>
      </c>
      <c r="V48" s="85">
        <f t="shared" si="0"/>
        <v>133</v>
      </c>
    </row>
    <row r="49" spans="1:22" ht="14.9" customHeight="1" x14ac:dyDescent="0.35">
      <c r="A49" s="1"/>
      <c r="B49" s="83" t="s">
        <v>163</v>
      </c>
      <c r="C49" s="84"/>
      <c r="D49" s="84"/>
      <c r="E49" s="84"/>
      <c r="F49" s="84"/>
      <c r="G49" s="84"/>
      <c r="H49" s="84"/>
      <c r="I49" s="84"/>
      <c r="J49" s="84"/>
      <c r="K49" s="94">
        <f>SUMIF($H$11:$H$44,$B49,K$11:K$44)</f>
        <v>569.98516741019409</v>
      </c>
      <c r="L49" s="120"/>
      <c r="M49" s="84"/>
      <c r="N49" s="84"/>
      <c r="O49" s="84"/>
      <c r="P49" s="84"/>
      <c r="Q49" s="84"/>
      <c r="R49" s="84"/>
      <c r="S49" s="84"/>
      <c r="T49" s="85">
        <f t="shared" si="0"/>
        <v>1638</v>
      </c>
      <c r="U49" s="85">
        <f t="shared" si="0"/>
        <v>200</v>
      </c>
      <c r="V49" s="85">
        <f t="shared" si="0"/>
        <v>4</v>
      </c>
    </row>
    <row r="50" spans="1:22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88"/>
      <c r="J50" s="88"/>
      <c r="K50" s="95">
        <f>SUM(K48:K49)</f>
        <v>6373.3395784006389</v>
      </c>
      <c r="L50" s="88"/>
      <c r="M50" s="88"/>
      <c r="N50" s="88"/>
      <c r="O50" s="88"/>
      <c r="P50" s="88"/>
      <c r="Q50" s="88"/>
      <c r="R50" s="88"/>
      <c r="S50" s="88"/>
      <c r="T50" s="89">
        <f>SUM(T48:T49)</f>
        <v>22999.090000000004</v>
      </c>
      <c r="U50" s="89">
        <f>SUM(U48:U49)</f>
        <v>84873.93</v>
      </c>
      <c r="V50" s="89">
        <f>SUM(V48:V49)</f>
        <v>137</v>
      </c>
    </row>
    <row r="51" spans="1:22" ht="14.9" customHeight="1" x14ac:dyDescent="0.35">
      <c r="A51" s="1"/>
      <c r="K51" s="90">
        <f>K50-K45</f>
        <v>0</v>
      </c>
      <c r="T51" s="90">
        <f>T50-T45</f>
        <v>0</v>
      </c>
      <c r="U51" s="90">
        <f>U50-U45</f>
        <v>0</v>
      </c>
      <c r="V51" s="90">
        <f>V50-V45</f>
        <v>0</v>
      </c>
    </row>
    <row r="52" spans="1:22" ht="14.9" customHeight="1" x14ac:dyDescent="0.35">
      <c r="A52" s="1"/>
    </row>
    <row r="53" spans="1:22" ht="14.9" customHeight="1" x14ac:dyDescent="0.35">
      <c r="A53" s="1"/>
      <c r="L53" s="91"/>
      <c r="M53" s="92"/>
    </row>
    <row r="54" spans="1:22" ht="14.9" customHeight="1" x14ac:dyDescent="0.35">
      <c r="A54" s="1"/>
      <c r="L54" s="91"/>
    </row>
    <row r="55" spans="1:22" ht="14.9" customHeight="1" x14ac:dyDescent="0.35">
      <c r="A55" s="1"/>
    </row>
    <row r="56" spans="1:22" ht="15.5" x14ac:dyDescent="0.35">
      <c r="A56" s="1"/>
    </row>
  </sheetData>
  <autoFilter ref="B10:U45" xr:uid="{8A18CE08-ED02-4F5F-A653-79BDAA6CA4F1}"/>
  <mergeCells count="86">
    <mergeCell ref="S39:S40"/>
    <mergeCell ref="T39:T40"/>
    <mergeCell ref="U39:U40"/>
    <mergeCell ref="V39:V40"/>
    <mergeCell ref="C45:D45"/>
    <mergeCell ref="M39:M40"/>
    <mergeCell ref="N39:N40"/>
    <mergeCell ref="O39:O40"/>
    <mergeCell ref="P39:P40"/>
    <mergeCell ref="Q39:Q40"/>
    <mergeCell ref="R39:R40"/>
    <mergeCell ref="O36:O37"/>
    <mergeCell ref="P36:P37"/>
    <mergeCell ref="Q36:Q37"/>
    <mergeCell ref="R36:R37"/>
    <mergeCell ref="S36:S37"/>
    <mergeCell ref="B39:B40"/>
    <mergeCell ref="E39:E40"/>
    <mergeCell ref="F39:F40"/>
    <mergeCell ref="I39:I40"/>
    <mergeCell ref="L39:L40"/>
    <mergeCell ref="R34:R35"/>
    <mergeCell ref="S34:S35"/>
    <mergeCell ref="T34:T35"/>
    <mergeCell ref="U34:U35"/>
    <mergeCell ref="V34:V35"/>
    <mergeCell ref="B36:B37"/>
    <mergeCell ref="F36:F37"/>
    <mergeCell ref="L36:L37"/>
    <mergeCell ref="M36:M37"/>
    <mergeCell ref="N36:N37"/>
    <mergeCell ref="S31:S33"/>
    <mergeCell ref="B34:B35"/>
    <mergeCell ref="F34:F35"/>
    <mergeCell ref="I34:I35"/>
    <mergeCell ref="L34:L35"/>
    <mergeCell ref="M34:M35"/>
    <mergeCell ref="N34:N35"/>
    <mergeCell ref="O34:O35"/>
    <mergeCell ref="P34:P35"/>
    <mergeCell ref="Q34:Q35"/>
    <mergeCell ref="S29:S30"/>
    <mergeCell ref="B31:B33"/>
    <mergeCell ref="F31:F33"/>
    <mergeCell ref="L31:L33"/>
    <mergeCell ref="M31:M33"/>
    <mergeCell ref="N31:N33"/>
    <mergeCell ref="O31:O33"/>
    <mergeCell ref="P31:P33"/>
    <mergeCell ref="Q31:Q33"/>
    <mergeCell ref="R31:R33"/>
    <mergeCell ref="R27:R28"/>
    <mergeCell ref="S27:S28"/>
    <mergeCell ref="B29:B30"/>
    <mergeCell ref="F29:F30"/>
    <mergeCell ref="M29:M30"/>
    <mergeCell ref="N29:N30"/>
    <mergeCell ref="O29:O30"/>
    <mergeCell ref="P29:P30"/>
    <mergeCell ref="Q29:Q30"/>
    <mergeCell ref="R29:R30"/>
    <mergeCell ref="Q19:Q20"/>
    <mergeCell ref="R19:R20"/>
    <mergeCell ref="S19:S20"/>
    <mergeCell ref="B27:B28"/>
    <mergeCell ref="F27:F28"/>
    <mergeCell ref="M27:M28"/>
    <mergeCell ref="N27:N28"/>
    <mergeCell ref="O27:O28"/>
    <mergeCell ref="P27:P28"/>
    <mergeCell ref="Q27:Q28"/>
    <mergeCell ref="O11:O15"/>
    <mergeCell ref="P11:P15"/>
    <mergeCell ref="B19:B20"/>
    <mergeCell ref="F19:F20"/>
    <mergeCell ref="L19:L20"/>
    <mergeCell ref="M19:M20"/>
    <mergeCell ref="N19:N20"/>
    <mergeCell ref="O19:O20"/>
    <mergeCell ref="P19:P20"/>
    <mergeCell ref="B2:B5"/>
    <mergeCell ref="B11:B15"/>
    <mergeCell ref="F11:F15"/>
    <mergeCell ref="L11:L15"/>
    <mergeCell ref="M11:M15"/>
    <mergeCell ref="N11:N15"/>
  </mergeCells>
  <hyperlinks>
    <hyperlink ref="G3" location="Menu!A1" display="→Menu←" xr:uid="{1E3EC21B-A338-40FE-BD3E-BB0F67D9B10E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6E92-7409-41A6-A20D-D32B58A4A7C6}">
  <sheetPr>
    <tabColor theme="8" tint="0.39997558519241921"/>
  </sheetPr>
  <dimension ref="A1:V57"/>
  <sheetViews>
    <sheetView showGridLines="0" zoomScale="70" zoomScaleNormal="70" workbookViewId="0">
      <pane xSplit="4" ySplit="10" topLeftCell="E11" activePane="bottomRight" state="frozen"/>
      <selection activeCell="G30" sqref="G30"/>
      <selection pane="topRight" activeCell="G30" sqref="G30"/>
      <selection pane="bottomLeft" activeCell="G30" sqref="G30"/>
      <selection pane="bottomRight" activeCell="K21" sqref="K21"/>
    </sheetView>
  </sheetViews>
  <sheetFormatPr defaultColWidth="8.7265625" defaultRowHeight="0" customHeight="1" zeroHeight="1" x14ac:dyDescent="0.35"/>
  <cols>
    <col min="1" max="1" width="1.54296875" style="8" customWidth="1"/>
    <col min="2" max="2" width="24.08984375" style="82" customWidth="1"/>
    <col min="3" max="3" width="12.453125" style="23" customWidth="1"/>
    <col min="4" max="4" width="20.81640625" style="23" customWidth="1"/>
    <col min="5" max="5" width="24.90625" style="23" customWidth="1"/>
    <col min="6" max="6" width="14.1796875" style="23" customWidth="1"/>
    <col min="7" max="7" width="18.6328125" style="23" bestFit="1" customWidth="1"/>
    <col min="8" max="8" width="12.1796875" style="23" customWidth="1"/>
    <col min="9" max="10" width="16.453125" style="23" customWidth="1"/>
    <col min="11" max="11" width="23.26953125" style="23" customWidth="1"/>
    <col min="12" max="12" width="23.26953125" style="552" customWidth="1"/>
    <col min="13" max="16" width="8.7265625" style="1"/>
    <col min="17" max="17" width="13.36328125" style="1" bestFit="1" customWidth="1"/>
    <col min="18" max="16384" width="8.7265625" style="1"/>
  </cols>
  <sheetData>
    <row r="1" spans="1:22" ht="3.65" customHeight="1" x14ac:dyDescent="0.35">
      <c r="A1" s="1"/>
      <c r="B1" s="1"/>
      <c r="C1" s="1"/>
      <c r="D1" s="2"/>
      <c r="E1" s="2"/>
      <c r="F1" s="2"/>
      <c r="G1" s="1"/>
      <c r="H1" s="2"/>
      <c r="I1" s="1"/>
      <c r="J1" s="1"/>
      <c r="K1" s="2"/>
      <c r="L1" s="534"/>
    </row>
    <row r="2" spans="1:22" s="8" customFormat="1" ht="15.5" hidden="1" x14ac:dyDescent="0.35">
      <c r="A2" s="3"/>
      <c r="B2" s="461" t="e" vm="1">
        <v>#VALUE!</v>
      </c>
      <c r="C2" s="4"/>
      <c r="D2" s="4"/>
      <c r="E2" s="4"/>
      <c r="F2" s="6"/>
      <c r="G2" s="6"/>
      <c r="H2" s="6"/>
      <c r="I2" s="6"/>
      <c r="J2" s="6"/>
      <c r="K2" s="6"/>
      <c r="L2" s="535"/>
    </row>
    <row r="3" spans="1:22" s="8" customFormat="1" ht="15.5" hidden="1" x14ac:dyDescent="0.35">
      <c r="A3" s="3"/>
      <c r="B3" s="462"/>
      <c r="C3" s="9" t="s">
        <v>0</v>
      </c>
      <c r="D3" s="10">
        <v>46112</v>
      </c>
      <c r="E3" s="9"/>
      <c r="F3" s="11" t="s">
        <v>1</v>
      </c>
      <c r="G3" s="9"/>
      <c r="H3" s="9"/>
      <c r="I3" s="9"/>
      <c r="J3" s="9"/>
      <c r="K3" s="9"/>
      <c r="L3" s="536"/>
    </row>
    <row r="4" spans="1:22" s="8" customFormat="1" ht="15.5" hidden="1" x14ac:dyDescent="0.35">
      <c r="A4" s="3"/>
      <c r="B4" s="462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536"/>
    </row>
    <row r="5" spans="1:22" s="8" customFormat="1" ht="16" hidden="1" thickBot="1" x14ac:dyDescent="0.4">
      <c r="A5" s="3"/>
      <c r="B5" s="463"/>
      <c r="C5" s="15"/>
      <c r="D5" s="15"/>
      <c r="E5" s="15"/>
      <c r="F5" s="16"/>
      <c r="G5" s="16"/>
      <c r="H5" s="16"/>
      <c r="I5" s="16"/>
      <c r="J5" s="16"/>
      <c r="K5" s="16"/>
      <c r="L5" s="537"/>
    </row>
    <row r="6" spans="1:22" ht="5.9" customHeight="1" x14ac:dyDescent="0.35">
      <c r="A6" s="1"/>
      <c r="B6" s="1"/>
      <c r="C6" s="1"/>
      <c r="D6" s="2"/>
      <c r="E6" s="2"/>
      <c r="F6" s="2"/>
      <c r="G6" s="1"/>
      <c r="H6" s="2"/>
      <c r="I6" s="1"/>
      <c r="J6" s="1"/>
      <c r="K6" s="2"/>
      <c r="L6" s="534"/>
    </row>
    <row r="7" spans="1:22" ht="3" customHeight="1" x14ac:dyDescent="0.35">
      <c r="A7" s="1"/>
      <c r="B7" s="1"/>
      <c r="C7" s="1"/>
      <c r="D7" s="2"/>
      <c r="E7" s="2"/>
      <c r="F7" s="2"/>
      <c r="G7" s="1"/>
      <c r="H7" s="2"/>
      <c r="I7" s="18"/>
      <c r="J7" s="18"/>
      <c r="K7" s="19"/>
      <c r="L7" s="538"/>
    </row>
    <row r="8" spans="1:22" ht="15.5" hidden="1" x14ac:dyDescent="0.35">
      <c r="A8" s="1"/>
      <c r="B8" s="20" t="s">
        <v>3</v>
      </c>
      <c r="C8" s="21"/>
      <c r="D8" s="22"/>
      <c r="E8" s="22"/>
      <c r="F8" s="22"/>
      <c r="G8" s="21"/>
      <c r="H8" s="22"/>
      <c r="I8" s="125">
        <f>I11/I45</f>
        <v>0.55652668052094478</v>
      </c>
      <c r="J8" s="125"/>
      <c r="K8" s="126" t="e">
        <f>100%-(#REF!+I8)</f>
        <v>#REF!</v>
      </c>
      <c r="L8" s="539"/>
    </row>
    <row r="9" spans="1:22" ht="5.9" customHeight="1" x14ac:dyDescent="0.35">
      <c r="A9" s="1"/>
      <c r="B9" s="1"/>
      <c r="C9" s="1"/>
      <c r="D9" s="2"/>
      <c r="E9" s="2"/>
      <c r="F9" s="2"/>
      <c r="G9" s="1"/>
      <c r="H9" s="2"/>
      <c r="I9" s="18"/>
      <c r="J9" s="18"/>
      <c r="K9" s="19"/>
      <c r="L9" s="538"/>
    </row>
    <row r="10" spans="1:22" ht="92.25" customHeight="1" thickBot="1" x14ac:dyDescent="0.4">
      <c r="A10" s="23"/>
      <c r="B10" s="24" t="s">
        <v>4</v>
      </c>
      <c r="C10" s="24" t="s">
        <v>5</v>
      </c>
      <c r="D10" s="25" t="s">
        <v>6</v>
      </c>
      <c r="E10" s="25" t="s">
        <v>105</v>
      </c>
      <c r="F10" s="25" t="s">
        <v>8</v>
      </c>
      <c r="G10" s="25" t="s">
        <v>9</v>
      </c>
      <c r="H10" s="25" t="s">
        <v>10</v>
      </c>
      <c r="I10" s="25" t="s">
        <v>167</v>
      </c>
      <c r="J10" s="25" t="s">
        <v>320</v>
      </c>
      <c r="K10" s="25" t="s">
        <v>168</v>
      </c>
      <c r="L10" s="540" t="s">
        <v>330</v>
      </c>
      <c r="O10" s="86">
        <v>2019</v>
      </c>
      <c r="P10" s="86">
        <v>2020</v>
      </c>
      <c r="Q10" s="86">
        <v>2021</v>
      </c>
      <c r="R10" s="86">
        <v>2022</v>
      </c>
      <c r="S10" s="86">
        <v>2023</v>
      </c>
      <c r="T10" s="86">
        <v>2023</v>
      </c>
      <c r="U10" s="86">
        <v>2024</v>
      </c>
      <c r="V10" s="86">
        <v>2025</v>
      </c>
    </row>
    <row r="11" spans="1:22" s="106" customFormat="1" ht="16.5" customHeight="1" x14ac:dyDescent="0.35">
      <c r="A11" s="26"/>
      <c r="B11" s="464" t="s">
        <v>139</v>
      </c>
      <c r="C11" s="27" t="s">
        <v>16</v>
      </c>
      <c r="D11" s="27" t="s">
        <v>137</v>
      </c>
      <c r="E11" s="27" t="s">
        <v>109</v>
      </c>
      <c r="F11" s="136">
        <f>VLOOKUP($C11,Concessões!$C$11:$K$44,5,0)</f>
        <v>52231</v>
      </c>
      <c r="G11" s="27" t="s">
        <v>17</v>
      </c>
      <c r="H11" s="27">
        <v>2028</v>
      </c>
      <c r="I11" s="29">
        <f>VLOOKUP($C11,Concessões!$C$11:$K$44,9,0)</f>
        <v>3546.9335194000651</v>
      </c>
      <c r="J11" s="29" t="s">
        <v>321</v>
      </c>
      <c r="K11" s="468">
        <v>1</v>
      </c>
      <c r="L11" s="557"/>
      <c r="N11" s="106" t="s">
        <v>334</v>
      </c>
      <c r="O11" s="457">
        <f>SUMIF($L$11:$L$44,O10,$I$11:$I$44)</f>
        <v>16.151413423689903</v>
      </c>
      <c r="P11" s="457">
        <f t="shared" ref="P11:V11" si="0">SUMIF($L$11:$L$44,P10,$I$11:$I$44)</f>
        <v>94.464464801383087</v>
      </c>
      <c r="Q11" s="457">
        <f t="shared" si="0"/>
        <v>101.5262414472341</v>
      </c>
      <c r="R11" s="457">
        <f t="shared" si="0"/>
        <v>398.68657627056064</v>
      </c>
      <c r="S11" s="457">
        <f t="shared" si="0"/>
        <v>118.25027687525549</v>
      </c>
      <c r="T11" s="457">
        <f t="shared" si="0"/>
        <v>118.25027687525549</v>
      </c>
      <c r="U11" s="457">
        <f t="shared" si="0"/>
        <v>52.959984550000016</v>
      </c>
      <c r="V11" s="457">
        <f t="shared" si="0"/>
        <v>101.57006314475062</v>
      </c>
    </row>
    <row r="12" spans="1:22" s="106" customFormat="1" ht="16.5" customHeight="1" x14ac:dyDescent="0.35">
      <c r="A12" s="26"/>
      <c r="B12" s="464"/>
      <c r="C12" s="31" t="s">
        <v>20</v>
      </c>
      <c r="D12" s="31" t="s">
        <v>21</v>
      </c>
      <c r="E12" s="31" t="s">
        <v>120</v>
      </c>
      <c r="F12" s="137">
        <f>VLOOKUP($C12,Concessões!$C$11:$K$44,5,0)</f>
        <v>55792</v>
      </c>
      <c r="G12" s="31" t="s">
        <v>17</v>
      </c>
      <c r="H12" s="31">
        <v>2028</v>
      </c>
      <c r="I12" s="33">
        <f>VLOOKUP($C12,Concessões!$C$11:$K$44,9,0)</f>
        <v>343.10103999980538</v>
      </c>
      <c r="J12" s="33" t="s">
        <v>321</v>
      </c>
      <c r="K12" s="466"/>
      <c r="L12" s="546"/>
      <c r="N12" s="530" t="s">
        <v>335</v>
      </c>
      <c r="P12" s="531">
        <f>SUM(O11:P11)</f>
        <v>110.61587822507299</v>
      </c>
      <c r="Q12" s="531">
        <f>SUM(O11:Q11)</f>
        <v>212.1421196723071</v>
      </c>
      <c r="R12" s="531">
        <f>SUM(O11:R11)</f>
        <v>610.82869594286774</v>
      </c>
      <c r="S12" s="531">
        <f>SUM(O11:S11)</f>
        <v>729.07897281812325</v>
      </c>
      <c r="T12" s="531">
        <f>SUM(O11:T11)</f>
        <v>847.32924969337876</v>
      </c>
      <c r="U12" s="531">
        <f>SUM(O11:U11)</f>
        <v>900.28923424337881</v>
      </c>
      <c r="V12" s="532">
        <f>SUM(O11:V11)</f>
        <v>1001.8592973881294</v>
      </c>
    </row>
    <row r="13" spans="1:22" s="106" customFormat="1" ht="16.5" customHeight="1" x14ac:dyDescent="0.35">
      <c r="A13" s="26"/>
      <c r="B13" s="464"/>
      <c r="C13" s="31" t="s">
        <v>23</v>
      </c>
      <c r="D13" s="31" t="s">
        <v>24</v>
      </c>
      <c r="E13" s="31" t="s">
        <v>109</v>
      </c>
      <c r="F13" s="137">
        <f>VLOOKUP($C13,Concessões!$C$11:$K$44,5,0)</f>
        <v>53652</v>
      </c>
      <c r="G13" s="31" t="s">
        <v>17</v>
      </c>
      <c r="H13" s="31">
        <v>2027</v>
      </c>
      <c r="I13" s="33">
        <f>VLOOKUP($C13,Concessões!$C$11:$K$44,9,0)</f>
        <v>234.84007329413399</v>
      </c>
      <c r="J13" s="33" t="s">
        <v>321</v>
      </c>
      <c r="K13" s="466"/>
      <c r="L13" s="546"/>
    </row>
    <row r="14" spans="1:22" s="106" customFormat="1" ht="16.5" customHeight="1" x14ac:dyDescent="0.35">
      <c r="A14" s="26"/>
      <c r="B14" s="464"/>
      <c r="C14" s="31" t="s">
        <v>123</v>
      </c>
      <c r="D14" s="31" t="s">
        <v>124</v>
      </c>
      <c r="E14" s="31" t="s">
        <v>125</v>
      </c>
      <c r="F14" s="137">
        <f>VLOOKUP($C14,Concessões!$C$11:$K$44,5,0)</f>
        <v>56156</v>
      </c>
      <c r="G14" s="31" t="s">
        <v>22</v>
      </c>
      <c r="H14" s="31">
        <v>2029</v>
      </c>
      <c r="I14" s="33">
        <f>VLOOKUP($C14,Concessões!$C$11:$K$44,9,0)</f>
        <v>321.80777299039528</v>
      </c>
      <c r="J14" s="33" t="s">
        <v>321</v>
      </c>
      <c r="K14" s="466"/>
      <c r="L14" s="546"/>
    </row>
    <row r="15" spans="1:22" s="106" customFormat="1" ht="16.5" customHeight="1" thickBot="1" x14ac:dyDescent="0.4">
      <c r="A15" s="26"/>
      <c r="B15" s="464"/>
      <c r="C15" s="35" t="s">
        <v>126</v>
      </c>
      <c r="D15" s="35" t="s">
        <v>121</v>
      </c>
      <c r="E15" s="35" t="s">
        <v>119</v>
      </c>
      <c r="F15" s="138">
        <f>VLOOKUP($C15,Concessões!$C$11:$K$44,5,0)</f>
        <v>56156</v>
      </c>
      <c r="G15" s="35" t="s">
        <v>22</v>
      </c>
      <c r="H15" s="35">
        <v>2029</v>
      </c>
      <c r="I15" s="37">
        <f>VLOOKUP($C15,Concessões!$C$11:$K$44,9,0)</f>
        <v>248.17739441979884</v>
      </c>
      <c r="J15" s="37" t="s">
        <v>321</v>
      </c>
      <c r="K15" s="467"/>
      <c r="L15" s="556"/>
      <c r="R15" s="531"/>
    </row>
    <row r="16" spans="1:22" ht="16.5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139">
        <f>VLOOKUP($C16,Concessões!$C$11:$K$44,5,0)</f>
        <v>53915</v>
      </c>
      <c r="G16" s="55" t="s">
        <v>17</v>
      </c>
      <c r="H16" s="55">
        <v>2028</v>
      </c>
      <c r="I16" s="57">
        <f>VLOOKUP($C16,Concessões!$C$11:$K$44,9,0)</f>
        <v>83.236966918462116</v>
      </c>
      <c r="J16" s="57" t="s">
        <v>322</v>
      </c>
      <c r="K16" s="58">
        <v>1</v>
      </c>
      <c r="L16" s="543">
        <v>2021</v>
      </c>
      <c r="N16" s="86"/>
    </row>
    <row r="17" spans="1:16" ht="16.5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140">
        <f>VLOOKUP($C17,Concessões!$C$11:$K$44,5,0)</f>
        <v>55243</v>
      </c>
      <c r="G17" s="50" t="s">
        <v>17</v>
      </c>
      <c r="H17" s="50">
        <v>2025</v>
      </c>
      <c r="I17" s="52">
        <f>VLOOKUP($C17,Concessões!$C$11:$K$44,9,0)</f>
        <v>93.110359205539737</v>
      </c>
      <c r="J17" s="52" t="s">
        <v>322</v>
      </c>
      <c r="K17" s="60">
        <v>1</v>
      </c>
      <c r="L17" s="544">
        <v>2025</v>
      </c>
      <c r="N17" s="86"/>
      <c r="O17" s="457"/>
      <c r="P17" s="457"/>
    </row>
    <row r="18" spans="1:16" ht="16.5" customHeight="1" thickBot="1" x14ac:dyDescent="0.4">
      <c r="A18" s="26"/>
      <c r="B18" s="54" t="s">
        <v>44</v>
      </c>
      <c r="C18" s="55" t="s">
        <v>45</v>
      </c>
      <c r="D18" s="55" t="s">
        <v>46</v>
      </c>
      <c r="E18" s="55" t="s">
        <v>113</v>
      </c>
      <c r="F18" s="139">
        <f>VLOOKUP($C18,Concessões!$C$11:$K$44,5,0)</f>
        <v>54867</v>
      </c>
      <c r="G18" s="55" t="s">
        <v>17</v>
      </c>
      <c r="H18" s="55">
        <v>2025</v>
      </c>
      <c r="I18" s="57">
        <f>VLOOKUP($C18,Concessões!$C$11:$K$44,9,0)</f>
        <v>52.959984550000016</v>
      </c>
      <c r="J18" s="57" t="s">
        <v>322</v>
      </c>
      <c r="K18" s="58">
        <v>1</v>
      </c>
      <c r="L18" s="543">
        <v>2024</v>
      </c>
      <c r="N18" s="86"/>
      <c r="O18" s="457"/>
      <c r="P18" s="457"/>
    </row>
    <row r="19" spans="1:16" ht="16.5" customHeight="1" x14ac:dyDescent="0.35">
      <c r="A19" s="39"/>
      <c r="B19" s="472" t="s">
        <v>49</v>
      </c>
      <c r="C19" s="129" t="s">
        <v>50</v>
      </c>
      <c r="D19" s="129" t="s">
        <v>51</v>
      </c>
      <c r="E19" s="129" t="s">
        <v>114</v>
      </c>
      <c r="F19" s="141">
        <f>VLOOKUP($C19,Concessões!$C$11:$K$44,5,0)</f>
        <v>54867</v>
      </c>
      <c r="G19" s="66" t="s">
        <v>17</v>
      </c>
      <c r="H19" s="66">
        <v>2025</v>
      </c>
      <c r="I19" s="68">
        <f>VLOOKUP($C19,Concessões!$C$11:$K$44,9,0)</f>
        <v>46.140901050000011</v>
      </c>
      <c r="J19" s="68" t="s">
        <v>322</v>
      </c>
      <c r="K19" s="475">
        <v>1</v>
      </c>
      <c r="L19" s="545">
        <v>2023</v>
      </c>
      <c r="N19" s="86"/>
      <c r="O19" s="457"/>
      <c r="P19" s="457"/>
    </row>
    <row r="20" spans="1:16" ht="16.5" customHeight="1" thickBot="1" x14ac:dyDescent="0.4">
      <c r="A20" s="39"/>
      <c r="B20" s="473"/>
      <c r="C20" s="35" t="s">
        <v>52</v>
      </c>
      <c r="D20" s="35" t="str">
        <f>B19</f>
        <v>IEMG</v>
      </c>
      <c r="E20" s="35" t="s">
        <v>114</v>
      </c>
      <c r="F20" s="138">
        <f>VLOOKUP($C20,Concessões!$C$11:$K$44,5,0)</f>
        <v>50153</v>
      </c>
      <c r="G20" s="35" t="s">
        <v>17</v>
      </c>
      <c r="H20" s="35" t="s">
        <v>47</v>
      </c>
      <c r="I20" s="37">
        <f>VLOOKUP($C20,Concessões!$C$11:$K$44,9,0)</f>
        <v>15.430810056724884</v>
      </c>
      <c r="J20" s="37" t="s">
        <v>321</v>
      </c>
      <c r="K20" s="467"/>
      <c r="L20" s="542"/>
      <c r="N20" s="86"/>
      <c r="O20" s="457"/>
      <c r="P20" s="457"/>
    </row>
    <row r="21" spans="1:16" ht="16.5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139">
        <f>VLOOKUP($C21,Concessões!$C$11:$K$44,5,0)</f>
        <v>53733</v>
      </c>
      <c r="G21" s="55" t="s">
        <v>17</v>
      </c>
      <c r="H21" s="55">
        <v>2027</v>
      </c>
      <c r="I21" s="57">
        <f>VLOOKUP($C21,Concessões!$C$11:$K$44,9,0)</f>
        <v>72.109375825255484</v>
      </c>
      <c r="J21" s="57" t="s">
        <v>322</v>
      </c>
      <c r="K21" s="58">
        <v>1</v>
      </c>
      <c r="L21" s="543">
        <v>2023</v>
      </c>
      <c r="N21" s="86"/>
      <c r="O21" s="457"/>
      <c r="P21" s="457"/>
    </row>
    <row r="22" spans="1:16" ht="16.5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137">
        <f>VLOOKUP($C22,Concessões!$C$11:$K$44,5,0)</f>
        <v>53915</v>
      </c>
      <c r="G22" s="31" t="s">
        <v>17</v>
      </c>
      <c r="H22" s="31">
        <v>2028</v>
      </c>
      <c r="I22" s="33">
        <f>VLOOKUP($C22,Concessões!$C$11:$K$44,9,0)</f>
        <v>70.794383704919042</v>
      </c>
      <c r="J22" s="33" t="s">
        <v>322</v>
      </c>
      <c r="K22" s="71">
        <v>1</v>
      </c>
      <c r="L22" s="546">
        <v>2020</v>
      </c>
      <c r="N22" s="86"/>
      <c r="O22" s="457"/>
      <c r="P22" s="457"/>
    </row>
    <row r="23" spans="1:16" ht="16.5" customHeight="1" thickBot="1" x14ac:dyDescent="0.4">
      <c r="A23" s="39"/>
      <c r="B23" s="54" t="s">
        <v>62</v>
      </c>
      <c r="C23" s="55" t="s">
        <v>63</v>
      </c>
      <c r="D23" s="55" t="str">
        <f>B23</f>
        <v>IENNE</v>
      </c>
      <c r="E23" s="55" t="s">
        <v>115</v>
      </c>
      <c r="F23" s="139">
        <f>VLOOKUP($C23,Concessões!$C$11:$K$44,5,0)</f>
        <v>50480</v>
      </c>
      <c r="G23" s="55" t="s">
        <v>17</v>
      </c>
      <c r="H23" s="55">
        <v>2028</v>
      </c>
      <c r="I23" s="57">
        <f>VLOOKUP($C23,Concessões!$C$11:$K$44,9,0)</f>
        <v>71.392523093207842</v>
      </c>
      <c r="J23" s="57" t="s">
        <v>321</v>
      </c>
      <c r="K23" s="58">
        <v>1</v>
      </c>
      <c r="L23" s="543"/>
      <c r="N23" s="86"/>
      <c r="O23" s="457"/>
      <c r="P23" s="457"/>
    </row>
    <row r="24" spans="1:16" ht="16.5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140">
        <f>VLOOKUP($C24,Concessões!$C$11:$K$44,5,0)</f>
        <v>51092</v>
      </c>
      <c r="G24" s="50" t="s">
        <v>17</v>
      </c>
      <c r="H24" s="50">
        <v>2025</v>
      </c>
      <c r="I24" s="52">
        <f>VLOOKUP($C24,Concessões!$C$11:$K$44,9,0)</f>
        <v>62.43698092135655</v>
      </c>
      <c r="J24" s="52" t="s">
        <v>321</v>
      </c>
      <c r="K24" s="60">
        <v>1</v>
      </c>
      <c r="L24" s="544"/>
      <c r="O24" s="533"/>
    </row>
    <row r="25" spans="1:16" ht="16.5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139">
        <f>VLOOKUP($C25,Concessões!$C$11:$K$44,5,0)</f>
        <v>50693</v>
      </c>
      <c r="G25" s="55" t="s">
        <v>17</v>
      </c>
      <c r="H25" s="55" t="s">
        <v>47</v>
      </c>
      <c r="I25" s="57">
        <f>VLOOKUP($C25,Concessões!$C$11:$K$44,9,0)</f>
        <v>77.298775904999019</v>
      </c>
      <c r="J25" s="57" t="s">
        <v>321</v>
      </c>
      <c r="K25" s="58">
        <v>1</v>
      </c>
      <c r="L25" s="543"/>
    </row>
    <row r="26" spans="1:16" ht="16.5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140">
        <f>VLOOKUP($C26,Concessões!$C$11:$K$44,5,0)</f>
        <v>54321</v>
      </c>
      <c r="G26" s="50" t="s">
        <v>17</v>
      </c>
      <c r="H26" s="50">
        <v>2029</v>
      </c>
      <c r="I26" s="52">
        <f>VLOOKUP($C26,Concessões!$C$11:$K$44,9,0)</f>
        <v>56.287888230804604</v>
      </c>
      <c r="J26" s="52" t="s">
        <v>322</v>
      </c>
      <c r="K26" s="60">
        <v>1</v>
      </c>
      <c r="L26" s="544">
        <v>2022</v>
      </c>
    </row>
    <row r="27" spans="1:16" ht="17.149999999999999" customHeight="1" x14ac:dyDescent="0.35">
      <c r="A27" s="26"/>
      <c r="B27" s="478" t="s">
        <v>75</v>
      </c>
      <c r="C27" s="40" t="s">
        <v>76</v>
      </c>
      <c r="D27" s="40" t="s">
        <v>77</v>
      </c>
      <c r="E27" s="40" t="s">
        <v>109</v>
      </c>
      <c r="F27" s="142">
        <f>VLOOKUP($C27,Concessões!$C$11:$K$44,5,0)</f>
        <v>48202</v>
      </c>
      <c r="G27" s="40" t="s">
        <v>17</v>
      </c>
      <c r="H27" s="40" t="s">
        <v>47</v>
      </c>
      <c r="I27" s="43">
        <f>VLOOKUP($C27,Concessões!$C$11:$K$44,9,0)</f>
        <v>20.643534548997234</v>
      </c>
      <c r="J27" s="43" t="s">
        <v>321</v>
      </c>
      <c r="K27" s="482">
        <v>1</v>
      </c>
      <c r="L27" s="547"/>
    </row>
    <row r="28" spans="1:16" ht="16.5" customHeight="1" thickBot="1" x14ac:dyDescent="0.4">
      <c r="A28" s="26"/>
      <c r="B28" s="479"/>
      <c r="C28" s="45" t="s">
        <v>78</v>
      </c>
      <c r="D28" s="45" t="s">
        <v>79</v>
      </c>
      <c r="E28" s="45" t="s">
        <v>109</v>
      </c>
      <c r="F28" s="143">
        <f>VLOOKUP($C28,Concessões!$C$11:$K$44,5,0)</f>
        <v>53915</v>
      </c>
      <c r="G28" s="45" t="s">
        <v>17</v>
      </c>
      <c r="H28" s="45">
        <v>2028</v>
      </c>
      <c r="I28" s="47">
        <f>VLOOKUP($C28,Concessões!$C$11:$K$44,9,0)</f>
        <v>16.151413423689903</v>
      </c>
      <c r="J28" s="47" t="s">
        <v>322</v>
      </c>
      <c r="K28" s="481"/>
      <c r="L28" s="548">
        <v>2019</v>
      </c>
    </row>
    <row r="29" spans="1:16" ht="16.5" customHeight="1" x14ac:dyDescent="0.35">
      <c r="A29" s="26"/>
      <c r="B29" s="485" t="s">
        <v>80</v>
      </c>
      <c r="C29" s="66" t="s">
        <v>81</v>
      </c>
      <c r="D29" s="66" t="s">
        <v>82</v>
      </c>
      <c r="E29" s="66" t="s">
        <v>109</v>
      </c>
      <c r="F29" s="141">
        <f>VLOOKUP($C29,Concessões!$C$11:$K$44,5,0)</f>
        <v>55792</v>
      </c>
      <c r="G29" s="31" t="s">
        <v>17</v>
      </c>
      <c r="H29" s="66">
        <v>2028</v>
      </c>
      <c r="I29" s="68">
        <f>VLOOKUP($C29,Concessões!$C$11:$K$44,9,0)</f>
        <v>16.129841075719565</v>
      </c>
      <c r="J29" s="68" t="s">
        <v>321</v>
      </c>
      <c r="K29" s="475">
        <v>1</v>
      </c>
      <c r="L29" s="555">
        <v>2026</v>
      </c>
    </row>
    <row r="30" spans="1:16" ht="16.5" customHeight="1" thickBot="1" x14ac:dyDescent="0.4">
      <c r="A30" s="26"/>
      <c r="B30" s="486"/>
      <c r="C30" s="35" t="s">
        <v>83</v>
      </c>
      <c r="D30" s="35" t="s">
        <v>84</v>
      </c>
      <c r="E30" s="35" t="s">
        <v>109</v>
      </c>
      <c r="F30" s="138">
        <f>VLOOKUP($C30,Concessões!$C$11:$K$44,5,0)</f>
        <v>50693</v>
      </c>
      <c r="G30" s="35" t="s">
        <v>17</v>
      </c>
      <c r="H30" s="35" t="s">
        <v>47</v>
      </c>
      <c r="I30" s="37">
        <f>VLOOKUP($C30,Concessões!$C$11:$K$44,9,0)</f>
        <v>16.039714209697415</v>
      </c>
      <c r="J30" s="37" t="s">
        <v>321</v>
      </c>
      <c r="K30" s="467"/>
      <c r="L30" s="556"/>
    </row>
    <row r="31" spans="1:16" ht="16.5" customHeight="1" x14ac:dyDescent="0.35">
      <c r="A31" s="26"/>
      <c r="B31" s="485" t="s">
        <v>85</v>
      </c>
      <c r="C31" s="66" t="s">
        <v>86</v>
      </c>
      <c r="D31" s="66" t="s">
        <v>87</v>
      </c>
      <c r="E31" s="66" t="s">
        <v>109</v>
      </c>
      <c r="F31" s="141">
        <f>VLOOKUP($C31,Concessões!$C$11:$K$44,5,0)</f>
        <v>53915</v>
      </c>
      <c r="G31" s="66" t="s">
        <v>17</v>
      </c>
      <c r="H31" s="66">
        <v>2028</v>
      </c>
      <c r="I31" s="68">
        <f>VLOOKUP($C31,Concessões!$C$11:$K$44,9,0)</f>
        <v>23.670081096464052</v>
      </c>
      <c r="J31" s="68" t="s">
        <v>322</v>
      </c>
      <c r="K31" s="475">
        <v>1</v>
      </c>
      <c r="L31" s="545">
        <v>2020</v>
      </c>
    </row>
    <row r="32" spans="1:16" ht="16.399999999999999" customHeight="1" x14ac:dyDescent="0.35">
      <c r="A32" s="26"/>
      <c r="B32" s="464"/>
      <c r="C32" s="31" t="s">
        <v>88</v>
      </c>
      <c r="D32" s="31" t="s">
        <v>89</v>
      </c>
      <c r="E32" s="31" t="s">
        <v>117</v>
      </c>
      <c r="F32" s="137">
        <f>VLOOKUP($C32,Concessões!$C$11:$K$44,5,0)</f>
        <v>54867</v>
      </c>
      <c r="G32" s="31" t="s">
        <v>17</v>
      </c>
      <c r="H32" s="31">
        <v>2025</v>
      </c>
      <c r="I32" s="33">
        <f>VLOOKUP($C32,Concessões!$C$11:$K$44,9,0)</f>
        <v>7.45860083</v>
      </c>
      <c r="J32" s="33" t="s">
        <v>322</v>
      </c>
      <c r="K32" s="466"/>
      <c r="L32" s="541">
        <v>2022</v>
      </c>
    </row>
    <row r="33" spans="1:12" ht="16.399999999999999" customHeight="1" thickBot="1" x14ac:dyDescent="0.4">
      <c r="A33" s="26"/>
      <c r="B33" s="486"/>
      <c r="C33" s="35" t="s">
        <v>129</v>
      </c>
      <c r="D33" s="35" t="s">
        <v>122</v>
      </c>
      <c r="E33" s="35" t="s">
        <v>114</v>
      </c>
      <c r="F33" s="138">
        <f>VLOOKUP($C33,Concessões!$C$11:$K$44,5,0)</f>
        <v>56156</v>
      </c>
      <c r="G33" s="31" t="s">
        <v>17</v>
      </c>
      <c r="H33" s="35">
        <v>2029</v>
      </c>
      <c r="I33" s="37">
        <f>VLOOKUP($C33,Concessões!$C$11:$K$44,9,0)</f>
        <v>8.4597039392108826</v>
      </c>
      <c r="J33" s="37" t="s">
        <v>322</v>
      </c>
      <c r="K33" s="467"/>
      <c r="L33" s="542">
        <v>2025</v>
      </c>
    </row>
    <row r="34" spans="1:12" ht="16.5" customHeight="1" x14ac:dyDescent="0.35">
      <c r="A34" s="26"/>
      <c r="B34" s="490" t="s">
        <v>90</v>
      </c>
      <c r="C34" s="40" t="s">
        <v>91</v>
      </c>
      <c r="D34" s="40" t="s">
        <v>92</v>
      </c>
      <c r="E34" s="40" t="s">
        <v>116</v>
      </c>
      <c r="F34" s="142">
        <f>VLOOKUP($C34,Concessões!$C$11:$K$44,5,0)</f>
        <v>50693</v>
      </c>
      <c r="G34" s="40" t="s">
        <v>17</v>
      </c>
      <c r="H34" s="480" t="s">
        <v>47</v>
      </c>
      <c r="I34" s="43">
        <f>VLOOKUP($C34,Concessões!$C$11:$K$44,9,0)</f>
        <v>20.445175829766303</v>
      </c>
      <c r="J34" s="43" t="s">
        <v>321</v>
      </c>
      <c r="K34" s="482">
        <v>1</v>
      </c>
      <c r="L34" s="547"/>
    </row>
    <row r="35" spans="1:12" ht="16.5" customHeight="1" thickBot="1" x14ac:dyDescent="0.4">
      <c r="A35" s="26"/>
      <c r="B35" s="491"/>
      <c r="C35" s="45" t="s">
        <v>93</v>
      </c>
      <c r="D35" s="45" t="s">
        <v>94</v>
      </c>
      <c r="E35" s="45" t="s">
        <v>113</v>
      </c>
      <c r="F35" s="143">
        <f>VLOOKUP($C35,Concessões!$C$11:$K$44,5,0)</f>
        <v>50693</v>
      </c>
      <c r="G35" s="45" t="s">
        <v>17</v>
      </c>
      <c r="H35" s="481"/>
      <c r="I35" s="47">
        <f>VLOOKUP($C35,Concessões!$C$11:$K$44,9,0)</f>
        <v>8.7842146564553882</v>
      </c>
      <c r="J35" s="47" t="s">
        <v>321</v>
      </c>
      <c r="K35" s="481"/>
      <c r="L35" s="548"/>
    </row>
    <row r="36" spans="1:12" ht="16.5" customHeight="1" x14ac:dyDescent="0.35">
      <c r="A36" s="26"/>
      <c r="B36" s="472" t="s">
        <v>95</v>
      </c>
      <c r="C36" s="66" t="s">
        <v>96</v>
      </c>
      <c r="D36" s="66" t="s">
        <v>97</v>
      </c>
      <c r="E36" s="66" t="s">
        <v>109</v>
      </c>
      <c r="F36" s="141">
        <f>VLOOKUP($C36,Concessões!$C$11:$K$44,5,0)</f>
        <v>54322</v>
      </c>
      <c r="G36" s="66" t="s">
        <v>17</v>
      </c>
      <c r="H36" s="66">
        <v>2029</v>
      </c>
      <c r="I36" s="68">
        <f>VLOOKUP($C36,Concessões!$C$11:$K$44,9,0)</f>
        <v>18.289274528771983</v>
      </c>
      <c r="J36" s="68" t="s">
        <v>322</v>
      </c>
      <c r="K36" s="475">
        <v>1</v>
      </c>
      <c r="L36" s="545">
        <v>2021</v>
      </c>
    </row>
    <row r="37" spans="1:12" ht="16.5" customHeight="1" thickBot="1" x14ac:dyDescent="0.4">
      <c r="A37" s="26"/>
      <c r="B37" s="473"/>
      <c r="C37" s="35" t="s">
        <v>98</v>
      </c>
      <c r="D37" s="35" t="s">
        <v>99</v>
      </c>
      <c r="E37" s="35" t="s">
        <v>109</v>
      </c>
      <c r="F37" s="138">
        <f>VLOOKUP($C37,Concessões!$C$11:$K$44,5,0)</f>
        <v>51844</v>
      </c>
      <c r="G37" s="35" t="s">
        <v>17</v>
      </c>
      <c r="H37" s="35">
        <v>2027</v>
      </c>
      <c r="I37" s="37">
        <f>VLOOKUP($C37,Concessões!$C$11:$K$44,9,0)</f>
        <v>9.2375544098375642</v>
      </c>
      <c r="J37" s="37" t="s">
        <v>321</v>
      </c>
      <c r="K37" s="467"/>
      <c r="L37" s="542"/>
    </row>
    <row r="38" spans="1:12" ht="16.5" customHeight="1" thickBot="1" x14ac:dyDescent="0.4">
      <c r="A38" s="26"/>
      <c r="B38" s="73" t="s">
        <v>100</v>
      </c>
      <c r="C38" s="55" t="s">
        <v>101</v>
      </c>
      <c r="D38" s="55" t="s">
        <v>102</v>
      </c>
      <c r="E38" s="55" t="s">
        <v>109</v>
      </c>
      <c r="F38" s="139">
        <f>VLOOKUP($C38,Concessões!$C$11:$K$44,5,0)</f>
        <v>50693</v>
      </c>
      <c r="G38" s="55" t="s">
        <v>17</v>
      </c>
      <c r="H38" s="55" t="s">
        <v>47</v>
      </c>
      <c r="I38" s="57">
        <f>VLOOKUP($C38,Concessões!$C$11:$K$44,9,0)</f>
        <v>8.5566029522407838</v>
      </c>
      <c r="J38" s="57" t="s">
        <v>321</v>
      </c>
      <c r="K38" s="58">
        <v>1</v>
      </c>
      <c r="L38" s="543"/>
    </row>
    <row r="39" spans="1:12" ht="21.5" customHeight="1" x14ac:dyDescent="0.35">
      <c r="A39" s="39"/>
      <c r="B39" s="490" t="s">
        <v>26</v>
      </c>
      <c r="C39" s="40" t="s">
        <v>27</v>
      </c>
      <c r="D39" s="41" t="s">
        <v>28</v>
      </c>
      <c r="E39" s="480" t="s">
        <v>107</v>
      </c>
      <c r="F39" s="142">
        <f>VLOOKUP($C39,Concessões!$C$11:$K$44,5,0)</f>
        <v>50826</v>
      </c>
      <c r="G39" s="40" t="s">
        <v>17</v>
      </c>
      <c r="H39" s="480" t="s">
        <v>47</v>
      </c>
      <c r="I39" s="43">
        <f>VLOOKUP($C39,Concessões!$C$11:$K$44,9,0)</f>
        <v>208.26671280361873</v>
      </c>
      <c r="J39" s="43" t="s">
        <v>321</v>
      </c>
      <c r="K39" s="480" t="s">
        <v>140</v>
      </c>
      <c r="L39" s="547"/>
    </row>
    <row r="40" spans="1:12" ht="22.5" customHeight="1" thickBot="1" x14ac:dyDescent="0.4">
      <c r="A40" s="39"/>
      <c r="B40" s="491"/>
      <c r="C40" s="45" t="s">
        <v>30</v>
      </c>
      <c r="D40" s="45" t="s">
        <v>31</v>
      </c>
      <c r="E40" s="481"/>
      <c r="F40" s="143">
        <f>VLOOKUP($C40,Concessões!$C$11:$K$44,5,0)</f>
        <v>50826</v>
      </c>
      <c r="G40" s="45" t="s">
        <v>17</v>
      </c>
      <c r="H40" s="481"/>
      <c r="I40" s="47">
        <f>VLOOKUP($C40,Concessões!$C$11:$K$44,9,0)</f>
        <v>179.70134125400062</v>
      </c>
      <c r="J40" s="47" t="s">
        <v>321</v>
      </c>
      <c r="K40" s="481"/>
      <c r="L40" s="548"/>
    </row>
    <row r="41" spans="1:12" ht="16.5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140">
        <f>VLOOKUP($C41,Concessões!$C$11:$K$44,5,0)</f>
        <v>53915</v>
      </c>
      <c r="G41" s="50" t="s">
        <v>17</v>
      </c>
      <c r="H41" s="50">
        <v>2028</v>
      </c>
      <c r="I41" s="52">
        <f>VLOOKUP($C41,Concessões!$C$11:$K$44,9,0)</f>
        <v>199.36511865079058</v>
      </c>
      <c r="J41" s="52" t="s">
        <v>322</v>
      </c>
      <c r="K41" s="50" t="s">
        <v>127</v>
      </c>
      <c r="L41" s="544">
        <v>2022</v>
      </c>
    </row>
    <row r="42" spans="1:12" ht="16.5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144">
        <f>VLOOKUP($C42,Concessões!$C$11:$K$44,5,0)</f>
        <v>53733</v>
      </c>
      <c r="G42" s="62" t="s">
        <v>17</v>
      </c>
      <c r="H42" s="62">
        <v>2027</v>
      </c>
      <c r="I42" s="64">
        <f>VLOOKUP($C42,Concessões!$C$11:$K$44,9,0)</f>
        <v>54.392366149602296</v>
      </c>
      <c r="J42" s="64" t="s">
        <v>322</v>
      </c>
      <c r="K42" s="62" t="s">
        <v>127</v>
      </c>
      <c r="L42" s="549">
        <v>2022</v>
      </c>
    </row>
    <row r="43" spans="1:12" ht="16.5" customHeight="1" thickBot="1" x14ac:dyDescent="0.4">
      <c r="A43" s="39"/>
      <c r="B43" s="49" t="s">
        <v>56</v>
      </c>
      <c r="C43" s="50" t="s">
        <v>57</v>
      </c>
      <c r="D43" s="50" t="s">
        <v>58</v>
      </c>
      <c r="E43" s="50" t="s">
        <v>136</v>
      </c>
      <c r="F43" s="140">
        <f>VLOOKUP($C43,Concessões!$C$11:$K$44,5,0)</f>
        <v>51844</v>
      </c>
      <c r="G43" s="50" t="s">
        <v>17</v>
      </c>
      <c r="H43" s="50">
        <v>2027</v>
      </c>
      <c r="I43" s="52">
        <f>VLOOKUP($C43,Concessões!$C$11:$K$44,9,0)</f>
        <v>80.506976066943736</v>
      </c>
      <c r="J43" s="52" t="s">
        <v>321</v>
      </c>
      <c r="K43" s="50" t="s">
        <v>128</v>
      </c>
      <c r="L43" s="544"/>
    </row>
    <row r="44" spans="1:12" ht="15" customHeight="1" x14ac:dyDescent="0.35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144">
        <f>VLOOKUP($C44,Concessões!$C$11:$K$44,5,0)</f>
        <v>53733</v>
      </c>
      <c r="G44" s="62" t="s">
        <v>17</v>
      </c>
      <c r="H44" s="62">
        <v>2027</v>
      </c>
      <c r="I44" s="64">
        <f>VLOOKUP($C44,Concessões!$C$11:$K$44,9,0)</f>
        <v>81.182602409363156</v>
      </c>
      <c r="J44" s="64" t="s">
        <v>322</v>
      </c>
      <c r="K44" s="62" t="s">
        <v>127</v>
      </c>
      <c r="L44" s="549">
        <v>2022</v>
      </c>
    </row>
    <row r="45" spans="1:12" ht="24" customHeight="1" x14ac:dyDescent="0.35">
      <c r="A45" s="74"/>
      <c r="B45" s="75" t="str">
        <f>"#"&amp;COUNTA(B11:B44)</f>
        <v>#22</v>
      </c>
      <c r="C45" s="496" t="str">
        <f>"Total ("&amp;COUNTA(C11:C44)&amp;")"</f>
        <v>Total (34)</v>
      </c>
      <c r="D45" s="496"/>
      <c r="E45" s="76"/>
      <c r="F45" s="108"/>
      <c r="G45" s="77"/>
      <c r="H45" s="77"/>
      <c r="I45" s="78">
        <f>SUM(I11:I44)</f>
        <v>6373.3395784006389</v>
      </c>
      <c r="J45" s="78"/>
      <c r="K45" s="77"/>
      <c r="L45" s="550"/>
    </row>
    <row r="46" spans="1:12" ht="15.5" x14ac:dyDescent="0.35">
      <c r="A46" s="23"/>
      <c r="B46" s="124"/>
      <c r="C46" s="79" t="s">
        <v>166</v>
      </c>
      <c r="E46" s="79"/>
      <c r="F46" s="79"/>
      <c r="G46" s="79"/>
      <c r="H46" s="127"/>
      <c r="I46" s="128">
        <v>0</v>
      </c>
      <c r="J46" s="128"/>
      <c r="K46" s="79"/>
      <c r="L46" s="551"/>
    </row>
    <row r="47" spans="1:12" ht="14.9" customHeight="1" x14ac:dyDescent="0.35">
      <c r="A47" s="23"/>
      <c r="B47" s="80"/>
    </row>
    <row r="48" spans="1:12" ht="14.9" customHeight="1" x14ac:dyDescent="0.35">
      <c r="A48" s="1"/>
      <c r="I48" s="93"/>
      <c r="J48" s="93"/>
    </row>
    <row r="49" spans="1:12" ht="14.9" customHeight="1" x14ac:dyDescent="0.35">
      <c r="A49" s="1"/>
      <c r="B49" s="83" t="s">
        <v>17</v>
      </c>
      <c r="C49" s="84"/>
      <c r="D49" s="84"/>
      <c r="E49" s="84"/>
      <c r="F49" s="84"/>
      <c r="G49" s="84"/>
      <c r="H49" s="84"/>
      <c r="I49" s="94">
        <f>SUMIF($G$11:$G$44,$B49,I$11:I$44)</f>
        <v>5803.3544109904451</v>
      </c>
      <c r="J49" s="94"/>
      <c r="K49" s="84"/>
      <c r="L49" s="553"/>
    </row>
    <row r="50" spans="1:12" ht="14.9" customHeight="1" x14ac:dyDescent="0.35">
      <c r="A50" s="1"/>
      <c r="B50" s="83" t="s">
        <v>22</v>
      </c>
      <c r="C50" s="84"/>
      <c r="D50" s="84"/>
      <c r="E50" s="84"/>
      <c r="F50" s="84"/>
      <c r="G50" s="84"/>
      <c r="H50" s="84"/>
      <c r="I50" s="94">
        <f>SUMIF($G$11:$G$44,$B50,I$11:I$44)</f>
        <v>569.98516741019409</v>
      </c>
      <c r="J50" s="94"/>
      <c r="K50" s="84"/>
      <c r="L50" s="553"/>
    </row>
    <row r="51" spans="1:12" s="86" customFormat="1" ht="14.9" customHeight="1" x14ac:dyDescent="0.35">
      <c r="B51" s="87" t="s">
        <v>103</v>
      </c>
      <c r="C51" s="88"/>
      <c r="D51" s="88"/>
      <c r="E51" s="88"/>
      <c r="F51" s="88"/>
      <c r="G51" s="88"/>
      <c r="H51" s="88"/>
      <c r="I51" s="95">
        <f>SUM(I49:I50)</f>
        <v>6373.3395784006389</v>
      </c>
      <c r="J51" s="95"/>
      <c r="K51" s="88"/>
      <c r="L51" s="554"/>
    </row>
    <row r="52" spans="1:12" ht="14.9" customHeight="1" x14ac:dyDescent="0.35">
      <c r="A52" s="1"/>
      <c r="I52" s="90">
        <f>I51-I45</f>
        <v>0</v>
      </c>
      <c r="J52" s="90"/>
    </row>
    <row r="53" spans="1:12" ht="14.9" customHeight="1" x14ac:dyDescent="0.35">
      <c r="A53" s="1"/>
    </row>
    <row r="54" spans="1:12" ht="14.9" customHeight="1" x14ac:dyDescent="0.35">
      <c r="A54" s="1"/>
      <c r="K54" s="92"/>
      <c r="L54" s="558"/>
    </row>
    <row r="55" spans="1:12" ht="14.9" customHeight="1" x14ac:dyDescent="0.35">
      <c r="A55" s="1"/>
    </row>
    <row r="56" spans="1:12" ht="14.9" customHeight="1" x14ac:dyDescent="0.35">
      <c r="A56" s="1"/>
    </row>
    <row r="57" spans="1:12" ht="15.5" hidden="1" x14ac:dyDescent="0.35">
      <c r="A57" s="1"/>
    </row>
  </sheetData>
  <autoFilter ref="B10:L46" xr:uid="{3B901446-FD2A-4183-9269-A5BC833BA679}"/>
  <mergeCells count="27">
    <mergeCell ref="C45:D45"/>
    <mergeCell ref="L19:L20"/>
    <mergeCell ref="L27:L28"/>
    <mergeCell ref="L31:L33"/>
    <mergeCell ref="L34:L35"/>
    <mergeCell ref="L36:L37"/>
    <mergeCell ref="L39:L40"/>
    <mergeCell ref="B36:B37"/>
    <mergeCell ref="K36:K37"/>
    <mergeCell ref="B39:B40"/>
    <mergeCell ref="E39:E40"/>
    <mergeCell ref="H39:H40"/>
    <mergeCell ref="K39:K40"/>
    <mergeCell ref="B29:B30"/>
    <mergeCell ref="K29:K30"/>
    <mergeCell ref="B31:B33"/>
    <mergeCell ref="K31:K33"/>
    <mergeCell ref="B34:B35"/>
    <mergeCell ref="H34:H35"/>
    <mergeCell ref="K34:K35"/>
    <mergeCell ref="B2:B5"/>
    <mergeCell ref="B11:B15"/>
    <mergeCell ref="K11:K15"/>
    <mergeCell ref="B19:B20"/>
    <mergeCell ref="K19:K20"/>
    <mergeCell ref="B27:B28"/>
    <mergeCell ref="K27:K28"/>
  </mergeCells>
  <hyperlinks>
    <hyperlink ref="F3" location="Menu!A1" display="→Menu←" xr:uid="{2E3ED3BC-DFDA-4B79-AEFC-FC4CC329B42C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9171-A246-41F4-92CB-EA57224A0F31}">
  <sheetPr>
    <tabColor theme="8" tint="0.39997558519241921"/>
  </sheetPr>
  <dimension ref="A1:AB56"/>
  <sheetViews>
    <sheetView showGridLines="0" zoomScale="70" zoomScaleNormal="70" workbookViewId="0">
      <pane xSplit="4" ySplit="10" topLeftCell="E11" activePane="bottomRight" state="frozen"/>
      <selection activeCell="H16" sqref="H16"/>
      <selection pane="topRight" activeCell="H16" sqref="H16"/>
      <selection pane="bottomLeft" activeCell="H16" sqref="H16"/>
      <selection pane="bottomRight" activeCell="K1" sqref="K1:XFD1048576"/>
    </sheetView>
  </sheetViews>
  <sheetFormatPr defaultColWidth="0" defaultRowHeight="0" customHeight="1" zeroHeight="1" x14ac:dyDescent="0.35"/>
  <cols>
    <col min="1" max="1" width="1.54296875" style="8" customWidth="1"/>
    <col min="2" max="2" width="24.7265625" style="82" customWidth="1"/>
    <col min="3" max="3" width="12.453125" style="23" customWidth="1"/>
    <col min="4" max="4" width="20.81640625" style="23" customWidth="1"/>
    <col min="5" max="5" width="22.453125" style="23" customWidth="1"/>
    <col min="6" max="6" width="14.54296875" style="23" customWidth="1"/>
    <col min="7" max="7" width="20.90625" style="23" customWidth="1"/>
    <col min="8" max="8" width="12.54296875" style="23" bestFit="1" customWidth="1"/>
    <col min="9" max="9" width="17.90625" style="23" customWidth="1"/>
    <col min="10" max="10" width="27" style="23" customWidth="1"/>
    <col min="11" max="28" width="0" style="1" hidden="1"/>
    <col min="29" max="16384" width="8.7265625" style="1" hidden="1"/>
  </cols>
  <sheetData>
    <row r="1" spans="1:10" ht="3.65" customHeight="1" x14ac:dyDescent="0.35">
      <c r="A1" s="1"/>
      <c r="B1" s="1"/>
      <c r="C1" s="1"/>
      <c r="D1" s="2"/>
      <c r="E1" s="2"/>
      <c r="F1" s="2"/>
      <c r="G1" s="1"/>
      <c r="H1" s="2"/>
      <c r="I1" s="1"/>
      <c r="J1" s="2"/>
    </row>
    <row r="2" spans="1:10" s="8" customFormat="1" ht="15.5" hidden="1" x14ac:dyDescent="0.35">
      <c r="A2" s="3"/>
      <c r="B2" s="461" t="e" vm="2">
        <v>#VALUE!</v>
      </c>
      <c r="C2" s="4"/>
      <c r="D2" s="4"/>
      <c r="E2" s="4"/>
      <c r="F2" s="6"/>
      <c r="G2" s="6"/>
      <c r="H2" s="6"/>
      <c r="I2" s="6"/>
      <c r="J2" s="6"/>
    </row>
    <row r="3" spans="1:10" s="8" customFormat="1" ht="15.5" hidden="1" x14ac:dyDescent="0.35">
      <c r="A3" s="3"/>
      <c r="B3" s="462"/>
      <c r="C3" s="9" t="s">
        <v>0</v>
      </c>
      <c r="D3" s="10">
        <v>46112</v>
      </c>
      <c r="E3" s="9"/>
      <c r="F3" s="11" t="s">
        <v>1</v>
      </c>
      <c r="G3" s="9"/>
      <c r="H3" s="9"/>
      <c r="I3" s="9"/>
      <c r="J3" s="9"/>
    </row>
    <row r="4" spans="1:10" s="8" customFormat="1" ht="15.5" hidden="1" x14ac:dyDescent="0.35">
      <c r="A4" s="3"/>
      <c r="B4" s="462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</row>
    <row r="5" spans="1:10" s="8" customFormat="1" ht="16" hidden="1" thickBot="1" x14ac:dyDescent="0.4">
      <c r="A5" s="3"/>
      <c r="B5" s="463"/>
      <c r="C5" s="15"/>
      <c r="D5" s="15"/>
      <c r="E5" s="15"/>
      <c r="F5" s="16"/>
      <c r="G5" s="16"/>
      <c r="H5" s="16"/>
      <c r="I5" s="16"/>
      <c r="J5" s="16"/>
    </row>
    <row r="6" spans="1:10" ht="5.9" customHeight="1" x14ac:dyDescent="0.35">
      <c r="A6" s="1"/>
      <c r="B6" s="1"/>
      <c r="C6" s="1"/>
      <c r="D6" s="2"/>
      <c r="E6" s="2"/>
      <c r="F6" s="2"/>
      <c r="G6" s="1"/>
      <c r="H6" s="2"/>
      <c r="I6" s="1"/>
      <c r="J6" s="2"/>
    </row>
    <row r="7" spans="1:10" ht="3" customHeight="1" x14ac:dyDescent="0.35">
      <c r="A7" s="1"/>
      <c r="B7" s="1"/>
      <c r="C7" s="1"/>
      <c r="D7" s="2"/>
      <c r="E7" s="2"/>
      <c r="F7" s="2"/>
      <c r="G7" s="1"/>
      <c r="H7" s="2"/>
      <c r="I7" s="18"/>
      <c r="J7" s="19"/>
    </row>
    <row r="8" spans="1:10" ht="15.5" hidden="1" x14ac:dyDescent="0.35">
      <c r="A8" s="1"/>
      <c r="B8" s="20" t="s">
        <v>141</v>
      </c>
      <c r="C8" s="21"/>
      <c r="D8" s="22"/>
      <c r="E8" s="22"/>
      <c r="F8" s="22"/>
      <c r="G8" s="21"/>
      <c r="H8" s="22"/>
      <c r="I8" s="107"/>
      <c r="J8" s="22"/>
    </row>
    <row r="9" spans="1:10" ht="5.9" customHeight="1" x14ac:dyDescent="0.35">
      <c r="A9" s="1"/>
      <c r="B9" s="1"/>
      <c r="C9" s="1"/>
      <c r="D9" s="2"/>
      <c r="E9" s="2"/>
      <c r="F9" s="2"/>
      <c r="G9" s="1"/>
      <c r="H9" s="2"/>
      <c r="I9" s="18"/>
      <c r="J9" s="19"/>
    </row>
    <row r="10" spans="1:10" ht="92.25" customHeight="1" thickBot="1" x14ac:dyDescent="0.4">
      <c r="A10" s="23"/>
      <c r="B10" s="24" t="s">
        <v>142</v>
      </c>
      <c r="C10" s="24" t="s">
        <v>143</v>
      </c>
      <c r="D10" s="25" t="s">
        <v>144</v>
      </c>
      <c r="E10" s="25" t="s">
        <v>145</v>
      </c>
      <c r="F10" s="25" t="s">
        <v>147</v>
      </c>
      <c r="G10" s="25" t="s">
        <v>148</v>
      </c>
      <c r="H10" s="25" t="s">
        <v>149</v>
      </c>
      <c r="I10" s="25" t="s">
        <v>151</v>
      </c>
      <c r="J10" s="25" t="s">
        <v>153</v>
      </c>
    </row>
    <row r="11" spans="1:10" s="106" customFormat="1" ht="16.5" customHeight="1" x14ac:dyDescent="0.35">
      <c r="A11" s="26"/>
      <c r="B11" s="464" t="s">
        <v>139</v>
      </c>
      <c r="C11" s="27" t="s">
        <v>16</v>
      </c>
      <c r="D11" s="27" t="s">
        <v>137</v>
      </c>
      <c r="E11" s="27" t="s">
        <v>109</v>
      </c>
      <c r="F11" s="145">
        <v>52231</v>
      </c>
      <c r="G11" s="27" t="s">
        <v>162</v>
      </c>
      <c r="H11" s="27">
        <v>2028</v>
      </c>
      <c r="I11" s="109">
        <v>3546.9335194000651</v>
      </c>
      <c r="J11" s="468">
        <v>1</v>
      </c>
    </row>
    <row r="12" spans="1:10" s="106" customFormat="1" ht="16.5" customHeight="1" x14ac:dyDescent="0.35">
      <c r="A12" s="26"/>
      <c r="B12" s="464"/>
      <c r="C12" s="31" t="s">
        <v>20</v>
      </c>
      <c r="D12" s="31" t="s">
        <v>21</v>
      </c>
      <c r="E12" s="31" t="s">
        <v>120</v>
      </c>
      <c r="F12" s="146">
        <v>55792</v>
      </c>
      <c r="G12" s="31" t="s">
        <v>162</v>
      </c>
      <c r="H12" s="31">
        <v>2028</v>
      </c>
      <c r="I12" s="110">
        <v>343.10103999980538</v>
      </c>
      <c r="J12" s="466"/>
    </row>
    <row r="13" spans="1:10" s="106" customFormat="1" ht="16.5" customHeight="1" x14ac:dyDescent="0.35">
      <c r="A13" s="26"/>
      <c r="B13" s="464"/>
      <c r="C13" s="31" t="s">
        <v>23</v>
      </c>
      <c r="D13" s="31" t="s">
        <v>24</v>
      </c>
      <c r="E13" s="31" t="s">
        <v>109</v>
      </c>
      <c r="F13" s="146">
        <v>53652</v>
      </c>
      <c r="G13" s="31" t="s">
        <v>162</v>
      </c>
      <c r="H13" s="31">
        <v>2027</v>
      </c>
      <c r="I13" s="110">
        <v>234.84007329413399</v>
      </c>
      <c r="J13" s="466"/>
    </row>
    <row r="14" spans="1:10" s="106" customFormat="1" ht="16.5" customHeight="1" x14ac:dyDescent="0.35">
      <c r="A14" s="26"/>
      <c r="B14" s="464"/>
      <c r="C14" s="31" t="s">
        <v>123</v>
      </c>
      <c r="D14" s="31" t="s">
        <v>124</v>
      </c>
      <c r="E14" s="31" t="s">
        <v>125</v>
      </c>
      <c r="F14" s="146">
        <v>56156</v>
      </c>
      <c r="G14" s="31" t="s">
        <v>163</v>
      </c>
      <c r="H14" s="31">
        <v>2029</v>
      </c>
      <c r="I14" s="110">
        <v>321.80777299039528</v>
      </c>
      <c r="J14" s="466"/>
    </row>
    <row r="15" spans="1:10" s="106" customFormat="1" ht="16.5" customHeight="1" thickBot="1" x14ac:dyDescent="0.4">
      <c r="A15" s="26"/>
      <c r="B15" s="464"/>
      <c r="C15" s="35" t="s">
        <v>126</v>
      </c>
      <c r="D15" s="35" t="s">
        <v>121</v>
      </c>
      <c r="E15" s="35" t="s">
        <v>119</v>
      </c>
      <c r="F15" s="147">
        <v>56156</v>
      </c>
      <c r="G15" s="35" t="s">
        <v>163</v>
      </c>
      <c r="H15" s="35">
        <v>2029</v>
      </c>
      <c r="I15" s="111">
        <v>248.17739441979884</v>
      </c>
      <c r="J15" s="467"/>
    </row>
    <row r="16" spans="1:10" ht="16.5" customHeight="1" thickBot="1" x14ac:dyDescent="0.4">
      <c r="A16" s="26"/>
      <c r="B16" s="54" t="s">
        <v>35</v>
      </c>
      <c r="C16" s="55" t="s">
        <v>36</v>
      </c>
      <c r="D16" s="55" t="s">
        <v>37</v>
      </c>
      <c r="E16" s="55" t="s">
        <v>109</v>
      </c>
      <c r="F16" s="148">
        <v>53915</v>
      </c>
      <c r="G16" s="55" t="s">
        <v>162</v>
      </c>
      <c r="H16" s="55">
        <v>2028</v>
      </c>
      <c r="I16" s="115">
        <v>83.236966918462116</v>
      </c>
      <c r="J16" s="58">
        <v>1</v>
      </c>
    </row>
    <row r="17" spans="1:10" ht="16.5" customHeight="1" thickBot="1" x14ac:dyDescent="0.4">
      <c r="A17" s="39"/>
      <c r="B17" s="49" t="s">
        <v>38</v>
      </c>
      <c r="C17" s="50" t="s">
        <v>39</v>
      </c>
      <c r="D17" s="50" t="s">
        <v>40</v>
      </c>
      <c r="E17" s="50" t="s">
        <v>109</v>
      </c>
      <c r="F17" s="149">
        <v>55243</v>
      </c>
      <c r="G17" s="50" t="s">
        <v>162</v>
      </c>
      <c r="H17" s="50">
        <v>2025</v>
      </c>
      <c r="I17" s="114">
        <v>93.110359205539737</v>
      </c>
      <c r="J17" s="60">
        <v>1</v>
      </c>
    </row>
    <row r="18" spans="1:10" s="2" customFormat="1" ht="16" hidden="1" thickBot="1" x14ac:dyDescent="0.4">
      <c r="A18" s="26"/>
      <c r="B18" s="123" t="s">
        <v>44</v>
      </c>
      <c r="C18" s="132" t="s">
        <v>45</v>
      </c>
      <c r="D18" s="132" t="s">
        <v>46</v>
      </c>
      <c r="E18" s="132" t="s">
        <v>113</v>
      </c>
      <c r="F18" s="150">
        <v>54867</v>
      </c>
      <c r="G18" s="132" t="s">
        <v>162</v>
      </c>
      <c r="H18" s="40">
        <v>2025</v>
      </c>
      <c r="I18" s="112">
        <v>52.959984550000016</v>
      </c>
      <c r="J18" s="121">
        <v>1</v>
      </c>
    </row>
    <row r="19" spans="1:10" ht="16.5" customHeight="1" x14ac:dyDescent="0.35">
      <c r="A19" s="39"/>
      <c r="B19" s="472" t="s">
        <v>49</v>
      </c>
      <c r="C19" s="129" t="s">
        <v>50</v>
      </c>
      <c r="D19" s="129" t="s">
        <v>51</v>
      </c>
      <c r="E19" s="129" t="s">
        <v>114</v>
      </c>
      <c r="F19" s="151">
        <v>54867</v>
      </c>
      <c r="G19" s="66" t="s">
        <v>162</v>
      </c>
      <c r="H19" s="66">
        <v>2025</v>
      </c>
      <c r="I19" s="117">
        <v>46.140901050000011</v>
      </c>
      <c r="J19" s="475">
        <v>1</v>
      </c>
    </row>
    <row r="20" spans="1:10" ht="16.5" customHeight="1" thickBot="1" x14ac:dyDescent="0.4">
      <c r="A20" s="39"/>
      <c r="B20" s="473"/>
      <c r="C20" s="35" t="s">
        <v>52</v>
      </c>
      <c r="D20" s="35" t="s">
        <v>49</v>
      </c>
      <c r="E20" s="35" t="s">
        <v>114</v>
      </c>
      <c r="F20" s="147">
        <v>50153</v>
      </c>
      <c r="G20" s="35" t="s">
        <v>162</v>
      </c>
      <c r="H20" s="35" t="s">
        <v>47</v>
      </c>
      <c r="I20" s="111">
        <v>15.430810056724884</v>
      </c>
      <c r="J20" s="467">
        <v>0</v>
      </c>
    </row>
    <row r="21" spans="1:10" ht="16.5" customHeight="1" thickBot="1" x14ac:dyDescent="0.4">
      <c r="A21" s="26"/>
      <c r="B21" s="54" t="s">
        <v>53</v>
      </c>
      <c r="C21" s="55" t="s">
        <v>54</v>
      </c>
      <c r="D21" s="55" t="s">
        <v>55</v>
      </c>
      <c r="E21" s="55" t="s">
        <v>112</v>
      </c>
      <c r="F21" s="148">
        <v>53733</v>
      </c>
      <c r="G21" s="55" t="s">
        <v>162</v>
      </c>
      <c r="H21" s="55">
        <v>2027</v>
      </c>
      <c r="I21" s="115">
        <v>72.109375825255484</v>
      </c>
      <c r="J21" s="58">
        <v>1</v>
      </c>
    </row>
    <row r="22" spans="1:10" ht="16.5" customHeight="1" thickBot="1" x14ac:dyDescent="0.4">
      <c r="A22" s="26"/>
      <c r="B22" s="70" t="s">
        <v>59</v>
      </c>
      <c r="C22" s="31" t="s">
        <v>60</v>
      </c>
      <c r="D22" s="31" t="s">
        <v>61</v>
      </c>
      <c r="E22" s="31" t="s">
        <v>109</v>
      </c>
      <c r="F22" s="146">
        <v>53915</v>
      </c>
      <c r="G22" s="31" t="s">
        <v>162</v>
      </c>
      <c r="H22" s="31">
        <v>2028</v>
      </c>
      <c r="I22" s="110">
        <v>70.794383704919042</v>
      </c>
      <c r="J22" s="71">
        <v>1</v>
      </c>
    </row>
    <row r="23" spans="1:10" ht="16.5" customHeight="1" thickBot="1" x14ac:dyDescent="0.4">
      <c r="A23" s="39"/>
      <c r="B23" s="54" t="s">
        <v>62</v>
      </c>
      <c r="C23" s="55" t="s">
        <v>63</v>
      </c>
      <c r="D23" s="55" t="s">
        <v>62</v>
      </c>
      <c r="E23" s="55" t="s">
        <v>115</v>
      </c>
      <c r="F23" s="148">
        <v>50480</v>
      </c>
      <c r="G23" s="55" t="s">
        <v>162</v>
      </c>
      <c r="H23" s="55">
        <v>2028</v>
      </c>
      <c r="I23" s="115">
        <v>71.392523093207842</v>
      </c>
      <c r="J23" s="58">
        <v>1</v>
      </c>
    </row>
    <row r="24" spans="1:10" ht="16.5" customHeight="1" thickBot="1" x14ac:dyDescent="0.4">
      <c r="A24" s="26"/>
      <c r="B24" s="49" t="s">
        <v>64</v>
      </c>
      <c r="C24" s="50" t="s">
        <v>65</v>
      </c>
      <c r="D24" s="50" t="s">
        <v>66</v>
      </c>
      <c r="E24" s="50" t="s">
        <v>109</v>
      </c>
      <c r="F24" s="149">
        <v>51092</v>
      </c>
      <c r="G24" s="50" t="s">
        <v>162</v>
      </c>
      <c r="H24" s="50">
        <v>2025</v>
      </c>
      <c r="I24" s="114">
        <v>62.43698092135655</v>
      </c>
      <c r="J24" s="60">
        <v>1</v>
      </c>
    </row>
    <row r="25" spans="1:10" ht="16.5" customHeight="1" thickBot="1" x14ac:dyDescent="0.4">
      <c r="A25" s="26"/>
      <c r="B25" s="54" t="s">
        <v>67</v>
      </c>
      <c r="C25" s="55" t="s">
        <v>68</v>
      </c>
      <c r="D25" s="72" t="s">
        <v>104</v>
      </c>
      <c r="E25" s="72" t="s">
        <v>109</v>
      </c>
      <c r="F25" s="148">
        <v>50693</v>
      </c>
      <c r="G25" s="55" t="s">
        <v>162</v>
      </c>
      <c r="H25" s="55" t="s">
        <v>47</v>
      </c>
      <c r="I25" s="115">
        <v>77.298775904999019</v>
      </c>
      <c r="J25" s="58">
        <v>1</v>
      </c>
    </row>
    <row r="26" spans="1:10" ht="16.5" customHeight="1" thickBot="1" x14ac:dyDescent="0.4">
      <c r="A26" s="39"/>
      <c r="B26" s="49" t="s">
        <v>69</v>
      </c>
      <c r="C26" s="50" t="s">
        <v>70</v>
      </c>
      <c r="D26" s="50" t="s">
        <v>71</v>
      </c>
      <c r="E26" s="50" t="s">
        <v>116</v>
      </c>
      <c r="F26" s="149">
        <v>54321</v>
      </c>
      <c r="G26" s="50" t="s">
        <v>162</v>
      </c>
      <c r="H26" s="50">
        <v>2029</v>
      </c>
      <c r="I26" s="114">
        <v>56.287888230804604</v>
      </c>
      <c r="J26" s="60">
        <v>1</v>
      </c>
    </row>
    <row r="27" spans="1:10" ht="17.149999999999999" customHeight="1" x14ac:dyDescent="0.35">
      <c r="A27" s="26"/>
      <c r="B27" s="478" t="s">
        <v>75</v>
      </c>
      <c r="C27" s="40" t="s">
        <v>76</v>
      </c>
      <c r="D27" s="40" t="s">
        <v>77</v>
      </c>
      <c r="E27" s="40" t="s">
        <v>109</v>
      </c>
      <c r="F27" s="150">
        <v>53915</v>
      </c>
      <c r="G27" s="40" t="s">
        <v>162</v>
      </c>
      <c r="H27" s="40" t="s">
        <v>47</v>
      </c>
      <c r="I27" s="112">
        <v>20.643534548997234</v>
      </c>
      <c r="J27" s="482">
        <v>1</v>
      </c>
    </row>
    <row r="28" spans="1:10" ht="16.5" customHeight="1" thickBot="1" x14ac:dyDescent="0.4">
      <c r="A28" s="26"/>
      <c r="B28" s="479"/>
      <c r="C28" s="45" t="s">
        <v>78</v>
      </c>
      <c r="D28" s="45" t="s">
        <v>79</v>
      </c>
      <c r="E28" s="45" t="s">
        <v>109</v>
      </c>
      <c r="F28" s="152">
        <v>54867</v>
      </c>
      <c r="G28" s="45" t="s">
        <v>162</v>
      </c>
      <c r="H28" s="45">
        <v>2028</v>
      </c>
      <c r="I28" s="113">
        <v>16.151413423689903</v>
      </c>
      <c r="J28" s="481">
        <v>0</v>
      </c>
    </row>
    <row r="29" spans="1:10" ht="16.5" customHeight="1" x14ac:dyDescent="0.35">
      <c r="A29" s="26"/>
      <c r="B29" s="485" t="s">
        <v>80</v>
      </c>
      <c r="C29" s="66" t="s">
        <v>81</v>
      </c>
      <c r="D29" s="66" t="s">
        <v>82</v>
      </c>
      <c r="E29" s="66" t="s">
        <v>109</v>
      </c>
      <c r="F29" s="151">
        <v>54322</v>
      </c>
      <c r="G29" s="66" t="s">
        <v>162</v>
      </c>
      <c r="H29" s="66">
        <v>2028</v>
      </c>
      <c r="I29" s="117">
        <v>16.129841075719565</v>
      </c>
      <c r="J29" s="475">
        <v>1</v>
      </c>
    </row>
    <row r="30" spans="1:10" ht="16.5" customHeight="1" thickBot="1" x14ac:dyDescent="0.4">
      <c r="A30" s="26"/>
      <c r="B30" s="486"/>
      <c r="C30" s="35" t="s">
        <v>83</v>
      </c>
      <c r="D30" s="35" t="s">
        <v>84</v>
      </c>
      <c r="E30" s="35" t="s">
        <v>109</v>
      </c>
      <c r="F30" s="147">
        <v>51844</v>
      </c>
      <c r="G30" s="35" t="s">
        <v>162</v>
      </c>
      <c r="H30" s="35" t="s">
        <v>47</v>
      </c>
      <c r="I30" s="111">
        <v>16.039714209697415</v>
      </c>
      <c r="J30" s="467">
        <v>0</v>
      </c>
    </row>
    <row r="31" spans="1:10" ht="16.5" customHeight="1" x14ac:dyDescent="0.35">
      <c r="A31" s="26"/>
      <c r="B31" s="478" t="s">
        <v>85</v>
      </c>
      <c r="C31" s="40" t="s">
        <v>86</v>
      </c>
      <c r="D31" s="40" t="s">
        <v>87</v>
      </c>
      <c r="E31" s="40" t="s">
        <v>109</v>
      </c>
      <c r="F31" s="150">
        <v>50693</v>
      </c>
      <c r="G31" s="40" t="s">
        <v>162</v>
      </c>
      <c r="H31" s="40">
        <v>2028</v>
      </c>
      <c r="I31" s="112">
        <v>23.670081096464052</v>
      </c>
      <c r="J31" s="482">
        <v>1</v>
      </c>
    </row>
    <row r="32" spans="1:10" ht="16.399999999999999" customHeight="1" x14ac:dyDescent="0.35">
      <c r="A32" s="26"/>
      <c r="B32" s="497"/>
      <c r="C32" s="62" t="s">
        <v>88</v>
      </c>
      <c r="D32" s="62" t="s">
        <v>89</v>
      </c>
      <c r="E32" s="62" t="s">
        <v>117</v>
      </c>
      <c r="F32" s="153">
        <v>50693</v>
      </c>
      <c r="G32" s="62" t="s">
        <v>162</v>
      </c>
      <c r="H32" s="62">
        <v>2025</v>
      </c>
      <c r="I32" s="116">
        <v>7.45860083</v>
      </c>
      <c r="J32" s="498"/>
    </row>
    <row r="33" spans="1:10" ht="16.399999999999999" customHeight="1" thickBot="1" x14ac:dyDescent="0.4">
      <c r="A33" s="26"/>
      <c r="B33" s="479"/>
      <c r="C33" s="45" t="s">
        <v>129</v>
      </c>
      <c r="D33" s="45" t="s">
        <v>122</v>
      </c>
      <c r="E33" s="45" t="s">
        <v>114</v>
      </c>
      <c r="F33" s="152">
        <v>54322</v>
      </c>
      <c r="G33" s="45" t="s">
        <v>162</v>
      </c>
      <c r="H33" s="45">
        <v>2029</v>
      </c>
      <c r="I33" s="113">
        <v>8.4597039392108826</v>
      </c>
      <c r="J33" s="481"/>
    </row>
    <row r="34" spans="1:10" ht="16.5" customHeight="1" x14ac:dyDescent="0.35">
      <c r="A34" s="26"/>
      <c r="B34" s="472" t="s">
        <v>90</v>
      </c>
      <c r="C34" s="66" t="s">
        <v>91</v>
      </c>
      <c r="D34" s="66" t="s">
        <v>92</v>
      </c>
      <c r="E34" s="66" t="s">
        <v>116</v>
      </c>
      <c r="F34" s="151">
        <v>48202</v>
      </c>
      <c r="G34" s="66" t="s">
        <v>162</v>
      </c>
      <c r="H34" s="474" t="s">
        <v>47</v>
      </c>
      <c r="I34" s="117">
        <v>20.445175829766303</v>
      </c>
      <c r="J34" s="475">
        <v>1</v>
      </c>
    </row>
    <row r="35" spans="1:10" ht="16.5" customHeight="1" thickBot="1" x14ac:dyDescent="0.4">
      <c r="A35" s="26"/>
      <c r="B35" s="473"/>
      <c r="C35" s="35" t="s">
        <v>93</v>
      </c>
      <c r="D35" s="35" t="s">
        <v>94</v>
      </c>
      <c r="E35" s="35" t="s">
        <v>113</v>
      </c>
      <c r="F35" s="147">
        <v>53915</v>
      </c>
      <c r="G35" s="35" t="s">
        <v>162</v>
      </c>
      <c r="H35" s="467">
        <v>0</v>
      </c>
      <c r="I35" s="111">
        <v>8.7842146564553882</v>
      </c>
      <c r="J35" s="467">
        <v>0</v>
      </c>
    </row>
    <row r="36" spans="1:10" s="134" customFormat="1" ht="16.5" customHeight="1" x14ac:dyDescent="0.35">
      <c r="A36" s="133"/>
      <c r="B36" s="490" t="s">
        <v>95</v>
      </c>
      <c r="C36" s="40" t="s">
        <v>96</v>
      </c>
      <c r="D36" s="40" t="s">
        <v>97</v>
      </c>
      <c r="E36" s="40" t="s">
        <v>109</v>
      </c>
      <c r="F36" s="150">
        <v>55792</v>
      </c>
      <c r="G36" s="40" t="s">
        <v>162</v>
      </c>
      <c r="H36" s="40">
        <v>2029</v>
      </c>
      <c r="I36" s="112">
        <v>18.289274528771983</v>
      </c>
      <c r="J36" s="482">
        <v>1</v>
      </c>
    </row>
    <row r="37" spans="1:10" s="134" customFormat="1" ht="16.5" customHeight="1" thickBot="1" x14ac:dyDescent="0.4">
      <c r="A37" s="133"/>
      <c r="B37" s="491"/>
      <c r="C37" s="45" t="s">
        <v>98</v>
      </c>
      <c r="D37" s="45" t="s">
        <v>99</v>
      </c>
      <c r="E37" s="45" t="s">
        <v>109</v>
      </c>
      <c r="F37" s="152">
        <v>50693</v>
      </c>
      <c r="G37" s="45" t="s">
        <v>162</v>
      </c>
      <c r="H37" s="45">
        <v>2027</v>
      </c>
      <c r="I37" s="113">
        <v>9.2375544098375642</v>
      </c>
      <c r="J37" s="481">
        <v>0</v>
      </c>
    </row>
    <row r="38" spans="1:10" ht="16.5" customHeight="1" thickBot="1" x14ac:dyDescent="0.4">
      <c r="A38" s="26"/>
      <c r="B38" s="135" t="s">
        <v>100</v>
      </c>
      <c r="C38" s="50" t="s">
        <v>101</v>
      </c>
      <c r="D38" s="50" t="s">
        <v>102</v>
      </c>
      <c r="E38" s="50" t="s">
        <v>109</v>
      </c>
      <c r="F38" s="149">
        <v>50693</v>
      </c>
      <c r="G38" s="50" t="s">
        <v>162</v>
      </c>
      <c r="H38" s="50" t="s">
        <v>47</v>
      </c>
      <c r="I38" s="114">
        <v>8.5566029522407838</v>
      </c>
      <c r="J38" s="60">
        <v>1</v>
      </c>
    </row>
    <row r="39" spans="1:10" ht="16.5" customHeight="1" x14ac:dyDescent="0.35">
      <c r="A39" s="39"/>
      <c r="B39" s="490" t="s">
        <v>26</v>
      </c>
      <c r="C39" s="40" t="s">
        <v>27</v>
      </c>
      <c r="D39" s="41" t="s">
        <v>28</v>
      </c>
      <c r="E39" s="480" t="s">
        <v>107</v>
      </c>
      <c r="F39" s="150">
        <v>50826</v>
      </c>
      <c r="G39" s="40" t="s">
        <v>162</v>
      </c>
      <c r="H39" s="480" t="s">
        <v>47</v>
      </c>
      <c r="I39" s="112">
        <v>208.26671280361873</v>
      </c>
      <c r="J39" s="480" t="s">
        <v>140</v>
      </c>
    </row>
    <row r="40" spans="1:10" ht="16.5" customHeight="1" thickBot="1" x14ac:dyDescent="0.4">
      <c r="A40" s="39"/>
      <c r="B40" s="491"/>
      <c r="C40" s="45" t="s">
        <v>30</v>
      </c>
      <c r="D40" s="45" t="s">
        <v>31</v>
      </c>
      <c r="E40" s="481"/>
      <c r="F40" s="152">
        <v>50826</v>
      </c>
      <c r="G40" s="45" t="s">
        <v>162</v>
      </c>
      <c r="H40" s="481">
        <v>0</v>
      </c>
      <c r="I40" s="113">
        <v>179.70134125400062</v>
      </c>
      <c r="J40" s="481">
        <v>0</v>
      </c>
    </row>
    <row r="41" spans="1:10" ht="16.5" customHeight="1" thickBot="1" x14ac:dyDescent="0.4">
      <c r="A41" s="26"/>
      <c r="B41" s="49" t="s">
        <v>32</v>
      </c>
      <c r="C41" s="50" t="s">
        <v>33</v>
      </c>
      <c r="D41" s="50" t="s">
        <v>34</v>
      </c>
      <c r="E41" s="50" t="s">
        <v>108</v>
      </c>
      <c r="F41" s="149">
        <v>53915</v>
      </c>
      <c r="G41" s="50" t="s">
        <v>162</v>
      </c>
      <c r="H41" s="50">
        <v>2028</v>
      </c>
      <c r="I41" s="114">
        <v>199.36511865079058</v>
      </c>
      <c r="J41" s="50" t="s">
        <v>127</v>
      </c>
    </row>
    <row r="42" spans="1:10" ht="16.5" customHeight="1" thickBot="1" x14ac:dyDescent="0.4">
      <c r="A42" s="26"/>
      <c r="B42" s="61" t="s">
        <v>72</v>
      </c>
      <c r="C42" s="62" t="s">
        <v>73</v>
      </c>
      <c r="D42" s="62" t="s">
        <v>74</v>
      </c>
      <c r="E42" s="62" t="s">
        <v>114</v>
      </c>
      <c r="F42" s="153">
        <v>53733</v>
      </c>
      <c r="G42" s="62" t="s">
        <v>162</v>
      </c>
      <c r="H42" s="62">
        <v>2027</v>
      </c>
      <c r="I42" s="116">
        <v>54.392366149602296</v>
      </c>
      <c r="J42" s="62" t="s">
        <v>127</v>
      </c>
    </row>
    <row r="43" spans="1:10" ht="16.5" customHeight="1" thickBot="1" x14ac:dyDescent="0.4">
      <c r="A43" s="26"/>
      <c r="B43" s="49" t="s">
        <v>56</v>
      </c>
      <c r="C43" s="50" t="s">
        <v>57</v>
      </c>
      <c r="D43" s="50" t="s">
        <v>58</v>
      </c>
      <c r="E43" s="50" t="s">
        <v>136</v>
      </c>
      <c r="F43" s="149">
        <v>51844</v>
      </c>
      <c r="G43" s="50" t="s">
        <v>162</v>
      </c>
      <c r="H43" s="50">
        <v>2027</v>
      </c>
      <c r="I43" s="114">
        <v>80.506976066943736</v>
      </c>
      <c r="J43" s="50" t="s">
        <v>128</v>
      </c>
    </row>
    <row r="44" spans="1:10" ht="15" customHeight="1" x14ac:dyDescent="0.35">
      <c r="A44" s="26"/>
      <c r="B44" s="61" t="s">
        <v>41</v>
      </c>
      <c r="C44" s="62" t="s">
        <v>42</v>
      </c>
      <c r="D44" s="62" t="s">
        <v>43</v>
      </c>
      <c r="E44" s="62" t="s">
        <v>111</v>
      </c>
      <c r="F44" s="153">
        <v>53733</v>
      </c>
      <c r="G44" s="62" t="s">
        <v>162</v>
      </c>
      <c r="H44" s="62">
        <v>2027</v>
      </c>
      <c r="I44" s="116">
        <v>81.182602409363156</v>
      </c>
      <c r="J44" s="62" t="s">
        <v>127</v>
      </c>
    </row>
    <row r="45" spans="1:10" ht="24" customHeight="1" x14ac:dyDescent="0.35">
      <c r="A45" s="74"/>
      <c r="B45" s="75" t="str">
        <f>"#"&amp;COUNTA(B11:B44)</f>
        <v>#22</v>
      </c>
      <c r="C45" s="496" t="str">
        <f>"Total ("&amp;COUNTA(C11:C44)&amp;")"</f>
        <v>Total (34)</v>
      </c>
      <c r="D45" s="496"/>
      <c r="E45" s="76"/>
      <c r="F45" s="108"/>
      <c r="G45" s="77"/>
      <c r="H45" s="77"/>
      <c r="I45" s="78">
        <f>SUM(I11:I44)</f>
        <v>6373.3395784006389</v>
      </c>
      <c r="J45" s="77"/>
    </row>
    <row r="46" spans="1:10" ht="14.9" customHeight="1" x14ac:dyDescent="0.35">
      <c r="A46" s="23"/>
      <c r="B46" s="80"/>
    </row>
    <row r="47" spans="1:10" ht="14.9" customHeight="1" x14ac:dyDescent="0.35">
      <c r="A47" s="1"/>
      <c r="I47" s="93"/>
    </row>
    <row r="48" spans="1:10" ht="14.9" customHeight="1" x14ac:dyDescent="0.35">
      <c r="A48" s="1"/>
      <c r="B48" s="83" t="s">
        <v>162</v>
      </c>
      <c r="C48" s="84"/>
      <c r="D48" s="84"/>
      <c r="E48" s="84"/>
      <c r="F48" s="84"/>
      <c r="G48" s="84"/>
      <c r="H48" s="84"/>
      <c r="I48" s="94">
        <f>SUMIF($G$11:$G$44,$B48,I$11:I$44)</f>
        <v>5803.3544109904451</v>
      </c>
      <c r="J48" s="84"/>
    </row>
    <row r="49" spans="1:10" ht="14.9" customHeight="1" x14ac:dyDescent="0.35">
      <c r="A49" s="1"/>
      <c r="B49" s="83" t="s">
        <v>163</v>
      </c>
      <c r="C49" s="84"/>
      <c r="D49" s="84"/>
      <c r="E49" s="84"/>
      <c r="F49" s="84"/>
      <c r="G49" s="84"/>
      <c r="H49" s="84"/>
      <c r="I49" s="94">
        <f>SUMIF($G$11:$G$44,$B49,I$11:I$44)</f>
        <v>569.98516741019409</v>
      </c>
      <c r="J49" s="84"/>
    </row>
    <row r="50" spans="1:10" s="86" customFormat="1" ht="14.9" customHeight="1" x14ac:dyDescent="0.35">
      <c r="B50" s="87" t="s">
        <v>103</v>
      </c>
      <c r="C50" s="88"/>
      <c r="D50" s="88"/>
      <c r="E50" s="88"/>
      <c r="F50" s="88"/>
      <c r="G50" s="88"/>
      <c r="H50" s="88"/>
      <c r="I50" s="95">
        <f>SUM(I48:I49)</f>
        <v>6373.3395784006389</v>
      </c>
      <c r="J50" s="88"/>
    </row>
    <row r="51" spans="1:10" ht="14.9" customHeight="1" x14ac:dyDescent="0.35">
      <c r="A51" s="1"/>
      <c r="I51" s="90">
        <f>I50-I45</f>
        <v>0</v>
      </c>
    </row>
    <row r="52" spans="1:10" ht="14.9" customHeight="1" x14ac:dyDescent="0.35">
      <c r="A52" s="1"/>
    </row>
    <row r="53" spans="1:10" ht="14.9" customHeight="1" x14ac:dyDescent="0.35">
      <c r="A53" s="1"/>
      <c r="J53" s="92"/>
    </row>
    <row r="54" spans="1:10" ht="14.9" customHeight="1" x14ac:dyDescent="0.35">
      <c r="A54" s="1"/>
    </row>
    <row r="55" spans="1:10" ht="14.9" customHeight="1" x14ac:dyDescent="0.35">
      <c r="A55" s="1"/>
    </row>
    <row r="56" spans="1:10" ht="15.5" hidden="1" x14ac:dyDescent="0.35">
      <c r="A56" s="1"/>
    </row>
  </sheetData>
  <mergeCells count="21">
    <mergeCell ref="C45:D45"/>
    <mergeCell ref="B36:B37"/>
    <mergeCell ref="J36:J37"/>
    <mergeCell ref="B39:B40"/>
    <mergeCell ref="E39:E40"/>
    <mergeCell ref="H39:H40"/>
    <mergeCell ref="J39:J40"/>
    <mergeCell ref="B29:B30"/>
    <mergeCell ref="J29:J30"/>
    <mergeCell ref="B31:B33"/>
    <mergeCell ref="J31:J33"/>
    <mergeCell ref="B34:B35"/>
    <mergeCell ref="H34:H35"/>
    <mergeCell ref="J34:J35"/>
    <mergeCell ref="B2:B5"/>
    <mergeCell ref="B11:B15"/>
    <mergeCell ref="J11:J15"/>
    <mergeCell ref="B19:B20"/>
    <mergeCell ref="J19:J20"/>
    <mergeCell ref="B27:B28"/>
    <mergeCell ref="J27:J28"/>
  </mergeCells>
  <hyperlinks>
    <hyperlink ref="F3" location="Menu!A1" display="→Menu←" xr:uid="{804E4388-0931-421A-961C-EDB8BF0DB40D}"/>
  </hyperlink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6F32-80E7-4278-9F5E-800D52549140}">
  <sheetPr>
    <tabColor theme="8" tint="0.39997558519241921"/>
  </sheetPr>
  <dimension ref="A1:X56"/>
  <sheetViews>
    <sheetView showGridLines="0" zoomScale="55" zoomScaleNormal="55" workbookViewId="0">
      <pane ySplit="12" topLeftCell="A13" activePane="bottomLeft" state="frozen"/>
      <selection activeCell="F13" sqref="F13"/>
      <selection pane="bottomLeft" activeCell="S26" sqref="S26"/>
    </sheetView>
  </sheetViews>
  <sheetFormatPr defaultColWidth="0" defaultRowHeight="15.5" zeroHeight="1" x14ac:dyDescent="0.35"/>
  <cols>
    <col min="1" max="1" width="2.54296875" style="82" customWidth="1"/>
    <col min="2" max="2" width="30.36328125" style="154" customWidth="1"/>
    <col min="3" max="3" width="17.36328125" style="82" customWidth="1"/>
    <col min="4" max="4" width="15" style="82" customWidth="1"/>
    <col min="5" max="5" width="18.453125" style="82" customWidth="1"/>
    <col min="6" max="6" width="21.36328125" style="82" customWidth="1"/>
    <col min="7" max="7" width="7.54296875" style="82" customWidth="1"/>
    <col min="8" max="8" width="12.453125" style="23" bestFit="1" customWidth="1"/>
    <col min="9" max="9" width="7.54296875" style="82" customWidth="1"/>
    <col min="10" max="10" width="22.1796875" style="82" customWidth="1"/>
    <col min="11" max="11" width="21.36328125" style="82" customWidth="1"/>
    <col min="12" max="12" width="16.54296875" style="82" customWidth="1"/>
    <col min="13" max="13" width="18.90625" style="82" customWidth="1"/>
    <col min="14" max="14" width="16.54296875" style="82" customWidth="1"/>
    <col min="15" max="15" width="5.453125" style="82" customWidth="1"/>
    <col min="16" max="16" width="22" style="82" customWidth="1"/>
    <col min="17" max="17" width="20.90625" style="82" customWidth="1"/>
    <col min="18" max="18" width="18.6328125" style="82" customWidth="1"/>
    <col min="19" max="19" width="19.26953125" style="82" customWidth="1"/>
    <col min="20" max="20" width="16.54296875" style="82" customWidth="1"/>
    <col min="21" max="22" width="8.7265625" style="82" customWidth="1"/>
    <col min="23" max="24" width="0" style="82" hidden="1" customWidth="1"/>
    <col min="25" max="16384" width="8.7265625" style="82" hidden="1"/>
  </cols>
  <sheetData>
    <row r="1" spans="1:21" s="1" customFormat="1" ht="3.65" customHeight="1" thickBot="1" x14ac:dyDescent="0.4"/>
    <row r="2" spans="1:21" s="8" customFormat="1" x14ac:dyDescent="0.35">
      <c r="A2" s="3"/>
      <c r="B2" s="502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8" customFormat="1" x14ac:dyDescent="0.35">
      <c r="A3" s="3"/>
      <c r="B3" s="503"/>
      <c r="C3" s="9" t="s">
        <v>0</v>
      </c>
      <c r="D3" s="10">
        <v>46112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</row>
    <row r="4" spans="1:21" s="8" customFormat="1" x14ac:dyDescent="0.35">
      <c r="A4" s="3"/>
      <c r="B4" s="503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</row>
    <row r="5" spans="1:21" s="8" customFormat="1" ht="16" thickBot="1" x14ac:dyDescent="0.4">
      <c r="A5" s="3"/>
      <c r="B5" s="504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" customFormat="1" ht="5.9" customHeight="1" x14ac:dyDescent="0.35"/>
    <row r="7" spans="1:21" s="1" customFormat="1" ht="3" customHeight="1" x14ac:dyDescent="0.35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x14ac:dyDescent="0.35">
      <c r="B8" s="20" t="s">
        <v>169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" customFormat="1" ht="5.9" customHeight="1" x14ac:dyDescent="0.35"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" thickBot="1" x14ac:dyDescent="0.4">
      <c r="F10" s="155"/>
    </row>
    <row r="11" spans="1:21" ht="16" thickBot="1" x14ac:dyDescent="0.4">
      <c r="B11" s="505" t="s">
        <v>170</v>
      </c>
      <c r="C11" s="507">
        <f>EOMONTH(D3,0)</f>
        <v>46112</v>
      </c>
      <c r="D11" s="508"/>
      <c r="E11" s="508"/>
      <c r="F11" s="508"/>
    </row>
    <row r="12" spans="1:21" ht="58.5" customHeight="1" thickBot="1" x14ac:dyDescent="0.4">
      <c r="B12" s="506"/>
      <c r="C12" s="156" t="s">
        <v>13</v>
      </c>
      <c r="D12" s="157" t="s">
        <v>171</v>
      </c>
      <c r="E12" s="158" t="s">
        <v>15</v>
      </c>
      <c r="F12" s="157" t="s">
        <v>14</v>
      </c>
      <c r="J12" s="159" t="s">
        <v>12</v>
      </c>
      <c r="K12" s="160" t="s">
        <v>13</v>
      </c>
      <c r="L12" s="160" t="s">
        <v>171</v>
      </c>
      <c r="M12" s="160" t="s">
        <v>172</v>
      </c>
      <c r="N12" s="160" t="s">
        <v>173</v>
      </c>
      <c r="P12" s="159" t="s">
        <v>12</v>
      </c>
      <c r="Q12" s="160" t="s">
        <v>13</v>
      </c>
      <c r="R12" s="160" t="s">
        <v>171</v>
      </c>
      <c r="S12" s="160" t="s">
        <v>172</v>
      </c>
      <c r="T12" s="160" t="s">
        <v>173</v>
      </c>
    </row>
    <row r="13" spans="1:21" s="161" customFormat="1" ht="18.5" thickBot="1" x14ac:dyDescent="0.4">
      <c r="B13" s="162" t="s">
        <v>174</v>
      </c>
      <c r="C13" s="163">
        <f>SUM(C14:C39)</f>
        <v>21360.860000000004</v>
      </c>
      <c r="D13" s="163">
        <f t="shared" ref="D13:F13" si="0">SUM(D14:D39)</f>
        <v>29439.579999999998</v>
      </c>
      <c r="E13" s="163">
        <f t="shared" si="0"/>
        <v>133</v>
      </c>
      <c r="F13" s="163">
        <f t="shared" si="0"/>
        <v>84673.93</v>
      </c>
      <c r="H13" s="164" t="s">
        <v>175</v>
      </c>
      <c r="J13" s="165" t="s">
        <v>176</v>
      </c>
      <c r="K13" s="166">
        <f>SUM(K14:K15)</f>
        <v>18841.790000000005</v>
      </c>
      <c r="L13" s="166">
        <f t="shared" ref="L13:M13" ca="1" si="1">SUM(L14:L15)</f>
        <v>24464.44</v>
      </c>
      <c r="M13" s="166">
        <f t="shared" ca="1" si="1"/>
        <v>134</v>
      </c>
      <c r="N13" s="166">
        <f ca="1">SUM(N14:N15)</f>
        <v>72321.929999999993</v>
      </c>
      <c r="P13" s="165" t="s">
        <v>174</v>
      </c>
      <c r="Q13" s="166">
        <f>SUM(Q14:Q15)</f>
        <v>21360.860000000004</v>
      </c>
      <c r="R13" s="166">
        <f t="shared" ref="R13:T13" ca="1" si="2">SUM(R14:R15)</f>
        <v>29439.579999999998</v>
      </c>
      <c r="S13" s="166">
        <f t="shared" ca="1" si="2"/>
        <v>133</v>
      </c>
      <c r="T13" s="166">
        <f t="shared" si="2"/>
        <v>84673.93</v>
      </c>
    </row>
    <row r="14" spans="1:21" ht="18" thickBot="1" x14ac:dyDescent="0.4">
      <c r="B14" s="167" t="s">
        <v>139</v>
      </c>
      <c r="C14" s="168">
        <v>14632.53</v>
      </c>
      <c r="D14" s="168">
        <v>19503.87</v>
      </c>
      <c r="E14" s="168">
        <v>109</v>
      </c>
      <c r="F14" s="168">
        <v>50180.93</v>
      </c>
      <c r="H14" s="169" t="s">
        <v>176</v>
      </c>
      <c r="J14" s="170" t="s">
        <v>174</v>
      </c>
      <c r="K14" s="171">
        <f>SUMIF($H$14:$H$39,$J$13,C$14:C$39)</f>
        <v>17203.790000000005</v>
      </c>
      <c r="L14" s="171">
        <f ca="1">SUMIF($H$14:$H$39,$J$13,D$14:D$38)</f>
        <v>22304.44</v>
      </c>
      <c r="M14" s="171">
        <f ca="1">SUMIF($H$14:$H$39,$J$13,E$14:E$38)</f>
        <v>130</v>
      </c>
      <c r="N14" s="171">
        <f>SUMIF($H$14:$H$39,$J$13,F$14:F$39)</f>
        <v>72121.929999999993</v>
      </c>
      <c r="P14" s="170" t="s">
        <v>176</v>
      </c>
      <c r="Q14" s="171">
        <f>K14</f>
        <v>17203.790000000005</v>
      </c>
      <c r="R14" s="171">
        <f t="shared" ref="R14:T14" ca="1" si="3">L14</f>
        <v>22304.44</v>
      </c>
      <c r="S14" s="171">
        <f t="shared" ca="1" si="3"/>
        <v>130</v>
      </c>
      <c r="T14" s="171">
        <f t="shared" si="3"/>
        <v>72121.929999999993</v>
      </c>
    </row>
    <row r="15" spans="1:21" ht="18" thickBot="1" x14ac:dyDescent="0.4">
      <c r="B15" s="172" t="s">
        <v>62</v>
      </c>
      <c r="C15" s="173">
        <v>710.87</v>
      </c>
      <c r="D15" s="173">
        <v>710.87</v>
      </c>
      <c r="E15" s="173">
        <v>0</v>
      </c>
      <c r="F15" s="173">
        <v>0</v>
      </c>
      <c r="H15" s="169" t="s">
        <v>176</v>
      </c>
      <c r="J15" s="170" t="s">
        <v>177</v>
      </c>
      <c r="K15" s="171">
        <f>SUMIF($H$41:$H$43,$J$13,C$41:C$43)</f>
        <v>1638</v>
      </c>
      <c r="L15" s="171">
        <f t="shared" ref="L15:M15" si="4">SUMIF($H$41:$H$43,$J$13,D$41:D$43)</f>
        <v>2160</v>
      </c>
      <c r="M15" s="171">
        <f t="shared" si="4"/>
        <v>4</v>
      </c>
      <c r="N15" s="171">
        <f ca="1">SUMIF($H$41:$H$44,$J$13,F$41:F$43)</f>
        <v>200</v>
      </c>
      <c r="P15" s="170" t="s">
        <v>178</v>
      </c>
      <c r="Q15" s="171">
        <f>K17</f>
        <v>4157.07</v>
      </c>
      <c r="R15" s="171">
        <f t="shared" ref="R15:T15" si="5">L17</f>
        <v>7135.14</v>
      </c>
      <c r="S15" s="171">
        <f t="shared" si="5"/>
        <v>3</v>
      </c>
      <c r="T15" s="171">
        <f t="shared" si="5"/>
        <v>12552</v>
      </c>
    </row>
    <row r="16" spans="1:21" ht="18.5" thickBot="1" x14ac:dyDescent="0.4">
      <c r="B16" s="167" t="s">
        <v>49</v>
      </c>
      <c r="C16" s="168">
        <v>173.03</v>
      </c>
      <c r="D16" s="168">
        <v>173.03</v>
      </c>
      <c r="E16" s="168">
        <v>0</v>
      </c>
      <c r="F16" s="168">
        <v>0</v>
      </c>
      <c r="H16" s="169" t="s">
        <v>176</v>
      </c>
      <c r="J16" s="174" t="s">
        <v>178</v>
      </c>
      <c r="K16" s="175">
        <f ca="1">SUM(K17:K18)</f>
        <v>4157.07</v>
      </c>
      <c r="L16" s="175">
        <f t="shared" ref="L16:M16" ca="1" si="6">SUM(L17:L18)</f>
        <v>7135.14</v>
      </c>
      <c r="M16" s="175">
        <f t="shared" ca="1" si="6"/>
        <v>3</v>
      </c>
      <c r="N16" s="175">
        <f ca="1">SUM(N17:N18)</f>
        <v>12552</v>
      </c>
      <c r="P16" s="174" t="s">
        <v>177</v>
      </c>
      <c r="Q16" s="175">
        <f ca="1">SUM(Q17:Q18)</f>
        <v>1638</v>
      </c>
      <c r="R16" s="175">
        <f t="shared" ref="R16:T16" ca="1" si="7">SUM(R17:R18)</f>
        <v>2160</v>
      </c>
      <c r="S16" s="175">
        <f t="shared" ca="1" si="7"/>
        <v>4</v>
      </c>
      <c r="T16" s="175">
        <f t="shared" ca="1" si="7"/>
        <v>200</v>
      </c>
    </row>
    <row r="17" spans="2:20" ht="18" thickBot="1" x14ac:dyDescent="0.4">
      <c r="B17" s="172" t="s">
        <v>318</v>
      </c>
      <c r="C17" s="173">
        <v>77.11</v>
      </c>
      <c r="D17" s="173">
        <v>77.11</v>
      </c>
      <c r="E17" s="173">
        <v>1</v>
      </c>
      <c r="F17" s="173">
        <v>2691</v>
      </c>
      <c r="H17" s="169" t="s">
        <v>176</v>
      </c>
      <c r="J17" s="170" t="s">
        <v>174</v>
      </c>
      <c r="K17" s="171">
        <f>SUMIF($H$14:$H$38,$J$16,C$14:C$38)</f>
        <v>4157.07</v>
      </c>
      <c r="L17" s="171">
        <f>SUMIF($H$14:$H$37,$J$16,D$14:D$37)</f>
        <v>7135.14</v>
      </c>
      <c r="M17" s="171">
        <f>SUMIF($H$14:$H$37,$J$16,E$14:E$37)</f>
        <v>3</v>
      </c>
      <c r="N17" s="171">
        <f>SUMIF($H$14:$H$37,$J$16,F$14:F$37)</f>
        <v>12552</v>
      </c>
      <c r="P17" s="170" t="s">
        <v>176</v>
      </c>
      <c r="Q17" s="171">
        <f>K15</f>
        <v>1638</v>
      </c>
      <c r="R17" s="171">
        <f t="shared" ref="R17:T17" si="8">L15</f>
        <v>2160</v>
      </c>
      <c r="S17" s="171">
        <f t="shared" si="8"/>
        <v>4</v>
      </c>
      <c r="T17" s="171">
        <f t="shared" ca="1" si="8"/>
        <v>200</v>
      </c>
    </row>
    <row r="18" spans="2:20" ht="18" thickBot="1" x14ac:dyDescent="0.4">
      <c r="B18" s="167" t="s">
        <v>100</v>
      </c>
      <c r="C18" s="168">
        <v>0</v>
      </c>
      <c r="D18" s="168">
        <v>0</v>
      </c>
      <c r="E18" s="168">
        <v>1</v>
      </c>
      <c r="F18" s="168">
        <v>400</v>
      </c>
      <c r="H18" s="169" t="s">
        <v>176</v>
      </c>
      <c r="J18" s="170" t="s">
        <v>177</v>
      </c>
      <c r="K18" s="171">
        <f ca="1">SUMIF($H$41:$H$44,$J$16,C$41:C$43)</f>
        <v>0</v>
      </c>
      <c r="L18" s="171">
        <f ca="1">SUMIF($H$41:$H$44,$J$16,D$41:D$43)</f>
        <v>0</v>
      </c>
      <c r="M18" s="171">
        <f t="shared" ref="M18:N18" ca="1" si="9">SUMIF($H$41:$H$44,$J$16,E$41:E$43)</f>
        <v>0</v>
      </c>
      <c r="N18" s="171">
        <f t="shared" ca="1" si="9"/>
        <v>0</v>
      </c>
      <c r="P18" s="170" t="s">
        <v>178</v>
      </c>
      <c r="Q18" s="171">
        <f ca="1">K18</f>
        <v>0</v>
      </c>
      <c r="R18" s="171">
        <f t="shared" ref="R18:T18" ca="1" si="10">L18</f>
        <v>0</v>
      </c>
      <c r="S18" s="171">
        <f t="shared" ca="1" si="10"/>
        <v>0</v>
      </c>
      <c r="T18" s="171">
        <f t="shared" ca="1" si="10"/>
        <v>0</v>
      </c>
    </row>
    <row r="19" spans="2:20" ht="18.5" thickBot="1" x14ac:dyDescent="0.4">
      <c r="B19" s="172" t="s">
        <v>64</v>
      </c>
      <c r="C19" s="173">
        <v>0</v>
      </c>
      <c r="D19" s="173">
        <v>0</v>
      </c>
      <c r="E19" s="173">
        <v>2</v>
      </c>
      <c r="F19" s="173">
        <v>2000</v>
      </c>
      <c r="H19" s="169" t="s">
        <v>176</v>
      </c>
      <c r="J19" s="176" t="s">
        <v>103</v>
      </c>
      <c r="K19" s="177">
        <f ca="1">SUM(K13,K16)</f>
        <v>22998.860000000004</v>
      </c>
      <c r="L19" s="177">
        <f t="shared" ref="L19:M19" ca="1" si="11">SUM(L13,L16)</f>
        <v>31599.579999999998</v>
      </c>
      <c r="M19" s="177">
        <f t="shared" ca="1" si="11"/>
        <v>137</v>
      </c>
      <c r="N19" s="177">
        <f ca="1">SUM(N13,N16)</f>
        <v>84873.93</v>
      </c>
      <c r="P19" s="176" t="s">
        <v>103</v>
      </c>
      <c r="Q19" s="177">
        <f ca="1">SUM(Q13,Q16)</f>
        <v>22998.860000000004</v>
      </c>
      <c r="R19" s="177">
        <f t="shared" ref="R19:T19" ca="1" si="12">SUM(R13,R16)</f>
        <v>31599.579999999998</v>
      </c>
      <c r="S19" s="177">
        <f t="shared" ca="1" si="12"/>
        <v>137</v>
      </c>
      <c r="T19" s="177">
        <f t="shared" ca="1" si="12"/>
        <v>84873.93</v>
      </c>
    </row>
    <row r="20" spans="2:20" ht="18" thickBot="1" x14ac:dyDescent="0.4">
      <c r="B20" s="167" t="s">
        <v>323</v>
      </c>
      <c r="C20" s="168">
        <v>178.66</v>
      </c>
      <c r="D20" s="168">
        <v>202</v>
      </c>
      <c r="E20" s="168">
        <v>2</v>
      </c>
      <c r="F20" s="168">
        <v>900</v>
      </c>
      <c r="H20" s="169" t="s">
        <v>176</v>
      </c>
      <c r="O20" s="178"/>
    </row>
    <row r="21" spans="2:20" ht="18" thickBot="1" x14ac:dyDescent="0.4">
      <c r="B21" s="172" t="s">
        <v>95</v>
      </c>
      <c r="C21" s="173">
        <v>0</v>
      </c>
      <c r="D21" s="173">
        <v>0</v>
      </c>
      <c r="E21" s="173">
        <v>1</v>
      </c>
      <c r="F21" s="173">
        <v>2000</v>
      </c>
      <c r="H21" s="169" t="s">
        <v>176</v>
      </c>
      <c r="J21" s="178"/>
      <c r="K21" s="179"/>
      <c r="L21" s="179"/>
      <c r="M21" s="179"/>
      <c r="N21" s="179"/>
      <c r="P21" s="178"/>
      <c r="Q21" s="179"/>
      <c r="R21" s="179"/>
      <c r="S21" s="179"/>
      <c r="T21" s="179"/>
    </row>
    <row r="22" spans="2:20" ht="18" thickBot="1" x14ac:dyDescent="0.4">
      <c r="B22" s="167" t="s">
        <v>26</v>
      </c>
      <c r="C22" s="168">
        <v>2385</v>
      </c>
      <c r="D22" s="168">
        <v>4770</v>
      </c>
      <c r="E22" s="168">
        <v>0</v>
      </c>
      <c r="F22" s="168">
        <v>7464</v>
      </c>
      <c r="H22" s="169" t="s">
        <v>178</v>
      </c>
    </row>
    <row r="23" spans="2:20" ht="18" thickBot="1" x14ac:dyDescent="0.4">
      <c r="B23" s="172" t="s">
        <v>56</v>
      </c>
      <c r="C23" s="173">
        <v>633</v>
      </c>
      <c r="D23" s="173">
        <v>633</v>
      </c>
      <c r="E23" s="173">
        <v>2</v>
      </c>
      <c r="F23" s="173">
        <v>2100</v>
      </c>
      <c r="H23" s="169" t="s">
        <v>178</v>
      </c>
    </row>
    <row r="24" spans="2:20" ht="18" thickBot="1" x14ac:dyDescent="0.4">
      <c r="B24" s="167" t="s">
        <v>59</v>
      </c>
      <c r="C24" s="168">
        <v>0</v>
      </c>
      <c r="D24" s="168">
        <v>0</v>
      </c>
      <c r="E24" s="168">
        <v>0</v>
      </c>
      <c r="F24" s="168">
        <v>900</v>
      </c>
      <c r="H24" s="169" t="s">
        <v>176</v>
      </c>
    </row>
    <row r="25" spans="2:20" ht="18" thickBot="1" x14ac:dyDescent="0.4">
      <c r="B25" s="172" t="s">
        <v>85</v>
      </c>
      <c r="C25" s="173">
        <v>53.79</v>
      </c>
      <c r="D25" s="173">
        <v>70.55</v>
      </c>
      <c r="E25" s="173">
        <v>0</v>
      </c>
      <c r="F25" s="173">
        <v>500</v>
      </c>
      <c r="H25" s="169" t="s">
        <v>176</v>
      </c>
      <c r="J25" s="180"/>
      <c r="K25" s="180"/>
      <c r="L25" s="180"/>
      <c r="M25" s="181"/>
    </row>
    <row r="26" spans="2:20" s="161" customFormat="1" ht="18" thickBot="1" x14ac:dyDescent="0.4">
      <c r="B26" s="167" t="s">
        <v>35</v>
      </c>
      <c r="C26" s="168">
        <v>0</v>
      </c>
      <c r="D26" s="168">
        <v>0</v>
      </c>
      <c r="E26" s="168">
        <v>2</v>
      </c>
      <c r="F26" s="168">
        <v>1400</v>
      </c>
      <c r="G26" s="82"/>
      <c r="H26" s="169" t="s">
        <v>176</v>
      </c>
      <c r="I26" s="82"/>
    </row>
    <row r="27" spans="2:20" s="161" customFormat="1" ht="18" thickBot="1" x14ac:dyDescent="0.4">
      <c r="B27" s="172" t="s">
        <v>69</v>
      </c>
      <c r="C27" s="173">
        <v>38.14</v>
      </c>
      <c r="D27" s="173">
        <v>54.4</v>
      </c>
      <c r="E27" s="173">
        <v>1</v>
      </c>
      <c r="F27" s="173">
        <v>300</v>
      </c>
      <c r="G27" s="82"/>
      <c r="H27" s="169" t="s">
        <v>176</v>
      </c>
      <c r="I27" s="82"/>
    </row>
    <row r="28" spans="2:20" ht="18" thickBot="1" x14ac:dyDescent="0.4">
      <c r="B28" s="167" t="s">
        <v>75</v>
      </c>
      <c r="C28" s="168">
        <v>137.29</v>
      </c>
      <c r="D28" s="168">
        <v>137.29</v>
      </c>
      <c r="E28" s="168">
        <v>0</v>
      </c>
      <c r="F28" s="168">
        <v>250</v>
      </c>
      <c r="H28" s="169" t="s">
        <v>176</v>
      </c>
      <c r="J28" s="180"/>
      <c r="K28" s="180"/>
      <c r="L28" s="180"/>
      <c r="M28" s="181"/>
    </row>
    <row r="29" spans="2:20" ht="18" thickBot="1" x14ac:dyDescent="0.4">
      <c r="B29" s="172" t="s">
        <v>80</v>
      </c>
      <c r="C29" s="173">
        <v>0.71</v>
      </c>
      <c r="D29" s="173">
        <v>1.44</v>
      </c>
      <c r="E29" s="173">
        <v>1</v>
      </c>
      <c r="F29" s="173">
        <v>1200</v>
      </c>
      <c r="H29" s="169" t="s">
        <v>176</v>
      </c>
      <c r="J29" s="180"/>
      <c r="K29" s="180"/>
      <c r="L29" s="180"/>
      <c r="M29" s="181"/>
    </row>
    <row r="30" spans="2:20" ht="18" thickBot="1" x14ac:dyDescent="0.4">
      <c r="B30" s="167" t="s">
        <v>67</v>
      </c>
      <c r="C30" s="168">
        <v>0</v>
      </c>
      <c r="D30" s="168">
        <v>0</v>
      </c>
      <c r="E30" s="168">
        <v>3</v>
      </c>
      <c r="F30" s="168">
        <v>2400</v>
      </c>
      <c r="H30" s="169" t="s">
        <v>176</v>
      </c>
      <c r="J30" s="180"/>
      <c r="K30" s="182"/>
      <c r="L30" s="182"/>
      <c r="M30" s="182"/>
      <c r="N30" s="182"/>
    </row>
    <row r="31" spans="2:20" ht="18" thickBot="1" x14ac:dyDescent="0.4">
      <c r="B31" s="172" t="s">
        <v>72</v>
      </c>
      <c r="C31" s="173">
        <v>208</v>
      </c>
      <c r="D31" s="173">
        <v>208</v>
      </c>
      <c r="E31" s="173">
        <v>0</v>
      </c>
      <c r="F31" s="173">
        <v>0</v>
      </c>
      <c r="H31" s="169" t="s">
        <v>178</v>
      </c>
      <c r="J31" s="183"/>
      <c r="K31" s="182"/>
      <c r="L31" s="184"/>
      <c r="M31" s="181"/>
      <c r="N31" s="185"/>
    </row>
    <row r="32" spans="2:20" ht="18" thickBot="1" x14ac:dyDescent="0.4">
      <c r="B32" s="167" t="s">
        <v>41</v>
      </c>
      <c r="C32" s="168">
        <v>338</v>
      </c>
      <c r="D32" s="168">
        <v>338</v>
      </c>
      <c r="E32" s="168">
        <v>0</v>
      </c>
      <c r="F32" s="168">
        <v>0</v>
      </c>
      <c r="H32" s="169" t="s">
        <v>178</v>
      </c>
      <c r="J32" s="180"/>
      <c r="K32" s="180"/>
      <c r="L32" s="180"/>
      <c r="M32" s="181"/>
    </row>
    <row r="33" spans="1:14" ht="18" thickBot="1" x14ac:dyDescent="0.4">
      <c r="B33" s="172" t="s">
        <v>32</v>
      </c>
      <c r="C33" s="173">
        <v>593.07000000000005</v>
      </c>
      <c r="D33" s="173">
        <v>1186.1400000000001</v>
      </c>
      <c r="E33" s="173">
        <v>1</v>
      </c>
      <c r="F33" s="173">
        <v>2988</v>
      </c>
      <c r="H33" s="169" t="s">
        <v>178</v>
      </c>
      <c r="I33" s="186"/>
      <c r="J33" s="186"/>
      <c r="K33" s="186"/>
      <c r="L33" s="186"/>
      <c r="M33" s="181"/>
    </row>
    <row r="34" spans="1:14" ht="18" thickBot="1" x14ac:dyDescent="0.4">
      <c r="B34" s="167" t="s">
        <v>53</v>
      </c>
      <c r="C34" s="168">
        <v>77.03</v>
      </c>
      <c r="D34" s="168">
        <v>77.03</v>
      </c>
      <c r="E34" s="168">
        <v>1</v>
      </c>
      <c r="F34" s="168">
        <v>1350</v>
      </c>
      <c r="G34" s="186"/>
      <c r="H34" s="169" t="s">
        <v>176</v>
      </c>
      <c r="I34" s="187"/>
      <c r="J34" s="187"/>
      <c r="K34" s="187"/>
      <c r="L34" s="187"/>
      <c r="M34" s="181"/>
      <c r="N34" s="188"/>
    </row>
    <row r="35" spans="1:14" ht="18" thickBot="1" x14ac:dyDescent="0.4">
      <c r="B35" s="172" t="s">
        <v>51</v>
      </c>
      <c r="C35" s="173">
        <v>158.21000000000029</v>
      </c>
      <c r="D35" s="173">
        <v>158.21000000000174</v>
      </c>
      <c r="E35" s="173">
        <v>3</v>
      </c>
      <c r="F35" s="173">
        <v>1600</v>
      </c>
      <c r="G35" s="186"/>
      <c r="H35" s="169" t="s">
        <v>176</v>
      </c>
    </row>
    <row r="36" spans="1:14" ht="21" customHeight="1" thickBot="1" x14ac:dyDescent="0.4">
      <c r="B36" s="442" t="s">
        <v>180</v>
      </c>
      <c r="C36" s="443">
        <v>0</v>
      </c>
      <c r="D36" s="443">
        <v>0</v>
      </c>
      <c r="E36" s="443">
        <v>0</v>
      </c>
      <c r="F36" s="443">
        <v>400</v>
      </c>
      <c r="H36" s="169" t="s">
        <v>176</v>
      </c>
      <c r="I36" s="186"/>
      <c r="J36" s="186"/>
      <c r="K36" s="186"/>
      <c r="L36" s="186"/>
      <c r="M36" s="181"/>
    </row>
    <row r="37" spans="1:14" ht="21" customHeight="1" thickBot="1" x14ac:dyDescent="0.4">
      <c r="B37" s="172" t="s">
        <v>38</v>
      </c>
      <c r="C37" s="173">
        <v>30.22</v>
      </c>
      <c r="D37" s="173">
        <v>60.44</v>
      </c>
      <c r="E37" s="173">
        <v>1</v>
      </c>
      <c r="F37" s="173">
        <v>800</v>
      </c>
      <c r="H37" s="169" t="s">
        <v>176</v>
      </c>
      <c r="I37" s="186"/>
      <c r="J37" s="186"/>
      <c r="K37" s="186"/>
      <c r="L37" s="186"/>
      <c r="M37" s="181"/>
    </row>
    <row r="38" spans="1:14" ht="18" thickBot="1" x14ac:dyDescent="0.4">
      <c r="B38" s="167" t="s">
        <v>21</v>
      </c>
      <c r="C38" s="168">
        <v>936.2</v>
      </c>
      <c r="D38" s="168">
        <v>1078.2</v>
      </c>
      <c r="E38" s="168">
        <v>2</v>
      </c>
      <c r="F38" s="168">
        <v>2250</v>
      </c>
      <c r="H38" s="169" t="s">
        <v>176</v>
      </c>
    </row>
    <row r="39" spans="1:14" ht="18" thickBot="1" x14ac:dyDescent="0.4">
      <c r="A39" s="186"/>
      <c r="B39" s="442" t="s">
        <v>82</v>
      </c>
      <c r="C39" s="443">
        <v>0</v>
      </c>
      <c r="D39" s="443">
        <v>0</v>
      </c>
      <c r="E39" s="443">
        <v>0</v>
      </c>
      <c r="F39" s="443">
        <v>600</v>
      </c>
      <c r="H39" s="169" t="s">
        <v>176</v>
      </c>
    </row>
    <row r="40" spans="1:14" ht="18.5" thickBot="1" x14ac:dyDescent="0.4">
      <c r="B40" s="162" t="s">
        <v>177</v>
      </c>
      <c r="C40" s="163">
        <f>SUM(C41:C43)</f>
        <v>1638</v>
      </c>
      <c r="D40" s="163">
        <f>SUM(D41:D43)</f>
        <v>2160</v>
      </c>
      <c r="E40" s="163">
        <f>SUM(E41:E43)</f>
        <v>4</v>
      </c>
      <c r="F40" s="163">
        <f>SUM(F41:F43)</f>
        <v>200</v>
      </c>
      <c r="G40" s="187"/>
      <c r="H40" s="169"/>
    </row>
    <row r="41" spans="1:14" ht="18" thickBot="1" x14ac:dyDescent="0.4">
      <c r="B41" s="167" t="s">
        <v>124</v>
      </c>
      <c r="C41" s="168">
        <v>1116</v>
      </c>
      <c r="D41" s="168">
        <v>1116</v>
      </c>
      <c r="E41" s="168">
        <v>3</v>
      </c>
      <c r="F41" s="168">
        <v>200</v>
      </c>
      <c r="H41" s="169" t="s">
        <v>176</v>
      </c>
      <c r="I41" s="186"/>
    </row>
    <row r="42" spans="1:14" ht="18" thickBot="1" x14ac:dyDescent="0.4">
      <c r="B42" s="172" t="s">
        <v>121</v>
      </c>
      <c r="C42" s="173">
        <v>522</v>
      </c>
      <c r="D42" s="173">
        <v>1044</v>
      </c>
      <c r="E42" s="173">
        <v>1</v>
      </c>
      <c r="F42" s="173">
        <v>0</v>
      </c>
      <c r="H42" s="169" t="s">
        <v>176</v>
      </c>
    </row>
    <row r="43" spans="1:14" x14ac:dyDescent="0.35">
      <c r="H43" s="169" t="s">
        <v>176</v>
      </c>
    </row>
    <row r="44" spans="1:14" ht="18" x14ac:dyDescent="0.35">
      <c r="B44" s="189" t="s">
        <v>103</v>
      </c>
      <c r="C44" s="177">
        <f>C13+C40</f>
        <v>22998.860000000004</v>
      </c>
      <c r="D44" s="177">
        <f>D13+D40</f>
        <v>31599.579999999998</v>
      </c>
      <c r="E44" s="177">
        <f>E13+E40</f>
        <v>137</v>
      </c>
      <c r="F44" s="177">
        <f>F13+F40</f>
        <v>84873.93</v>
      </c>
      <c r="H44" s="169"/>
    </row>
    <row r="45" spans="1:14" x14ac:dyDescent="0.35"/>
    <row r="46" spans="1:14" x14ac:dyDescent="0.35"/>
    <row r="47" spans="1:14" x14ac:dyDescent="0.35"/>
    <row r="48" spans="1:14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</sheetData>
  <mergeCells count="3">
    <mergeCell ref="B2:B5"/>
    <mergeCell ref="B11:B12"/>
    <mergeCell ref="C11:F11"/>
  </mergeCells>
  <hyperlinks>
    <hyperlink ref="F3" location="Menu!A1" display="→Menu←" xr:uid="{FB04A27E-B1C8-401A-B8BB-EF3B54DFEE58}"/>
  </hyperlinks>
  <pageMargins left="0.511811024" right="0.511811024" top="0.78740157499999996" bottom="0.78740157499999996" header="0.31496062000000002" footer="0.31496062000000002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5B53-AB59-4D84-9E8F-A9C670479426}">
  <sheetPr>
    <tabColor theme="8" tint="0.39997558519241921"/>
  </sheetPr>
  <dimension ref="A1:X61"/>
  <sheetViews>
    <sheetView showGridLines="0" zoomScale="55" zoomScaleNormal="55" workbookViewId="0">
      <pane ySplit="9" topLeftCell="A10" activePane="bottomLeft" state="frozen"/>
      <selection activeCell="F13" sqref="F13"/>
      <selection pane="bottomLeft" activeCell="N29" sqref="N29"/>
    </sheetView>
  </sheetViews>
  <sheetFormatPr defaultColWidth="0" defaultRowHeight="0" customHeight="1" zeroHeight="1" x14ac:dyDescent="0.35"/>
  <cols>
    <col min="1" max="1" width="2.54296875" style="82" customWidth="1"/>
    <col min="2" max="2" width="35.90625" style="154" customWidth="1"/>
    <col min="3" max="3" width="15.54296875" style="82" customWidth="1"/>
    <col min="4" max="4" width="15" style="82" customWidth="1"/>
    <col min="5" max="5" width="15.453125" style="82" customWidth="1"/>
    <col min="6" max="6" width="18.1796875" style="82" customWidth="1"/>
    <col min="7" max="7" width="7.54296875" style="82" customWidth="1"/>
    <col min="8" max="8" width="12.453125" style="23" bestFit="1" customWidth="1"/>
    <col min="9" max="9" width="7.54296875" style="82" customWidth="1"/>
    <col min="10" max="10" width="22.1796875" style="82" customWidth="1"/>
    <col min="11" max="14" width="16.54296875" style="82" customWidth="1"/>
    <col min="15" max="15" width="5.453125" style="82" customWidth="1"/>
    <col min="16" max="16" width="22" style="82" customWidth="1"/>
    <col min="17" max="20" width="16.54296875" style="82" customWidth="1"/>
    <col min="21" max="22" width="8.7265625" style="82" customWidth="1"/>
    <col min="23" max="24" width="0" style="82" hidden="1" customWidth="1"/>
    <col min="25" max="16384" width="8.7265625" style="82" hidden="1"/>
  </cols>
  <sheetData>
    <row r="1" spans="1:21" s="1" customFormat="1" ht="3.65" customHeight="1" thickBot="1" x14ac:dyDescent="0.4"/>
    <row r="2" spans="1:21" s="8" customFormat="1" ht="15.5" x14ac:dyDescent="0.35">
      <c r="A2" s="3"/>
      <c r="B2" s="502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1" s="8" customFormat="1" ht="15.5" x14ac:dyDescent="0.35">
      <c r="A3" s="3"/>
      <c r="B3" s="503"/>
      <c r="C3" s="9" t="s">
        <v>0</v>
      </c>
      <c r="D3" s="10">
        <v>46112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</row>
    <row r="4" spans="1:21" s="8" customFormat="1" ht="15.5" x14ac:dyDescent="0.35">
      <c r="A4" s="3"/>
      <c r="B4" s="503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</row>
    <row r="5" spans="1:21" s="8" customFormat="1" ht="16" thickBot="1" x14ac:dyDescent="0.4">
      <c r="A5" s="3"/>
      <c r="B5" s="504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</row>
    <row r="6" spans="1:21" s="1" customFormat="1" ht="5.9" customHeight="1" x14ac:dyDescent="0.35"/>
    <row r="7" spans="1:21" s="1" customFormat="1" ht="3" customHeight="1" x14ac:dyDescent="0.35"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1" s="1" customFormat="1" ht="15.5" x14ac:dyDescent="0.35">
      <c r="B8" s="20" t="s">
        <v>181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" customFormat="1" ht="5.9" customHeight="1" x14ac:dyDescent="0.35"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1" ht="16" thickBot="1" x14ac:dyDescent="0.4"/>
    <row r="11" spans="1:21" ht="16" thickBot="1" x14ac:dyDescent="0.4">
      <c r="B11" s="505" t="s">
        <v>182</v>
      </c>
      <c r="C11" s="507" t="s">
        <v>324</v>
      </c>
      <c r="D11" s="508"/>
      <c r="E11" s="508"/>
      <c r="F11" s="508"/>
    </row>
    <row r="12" spans="1:21" ht="47" thickBot="1" x14ac:dyDescent="0.4">
      <c r="B12" s="506" t="s">
        <v>182</v>
      </c>
      <c r="C12" s="156" t="s">
        <v>183</v>
      </c>
      <c r="D12" s="157" t="s">
        <v>171</v>
      </c>
      <c r="E12" s="158" t="s">
        <v>161</v>
      </c>
      <c r="F12" s="157" t="s">
        <v>184</v>
      </c>
      <c r="J12" s="159" t="s">
        <v>154</v>
      </c>
      <c r="K12" s="160" t="s">
        <v>183</v>
      </c>
      <c r="L12" s="160" t="s">
        <v>171</v>
      </c>
      <c r="M12" s="160" t="s">
        <v>161</v>
      </c>
      <c r="N12" s="160" t="s">
        <v>185</v>
      </c>
      <c r="P12" s="159" t="s">
        <v>154</v>
      </c>
      <c r="Q12" s="160" t="s">
        <v>183</v>
      </c>
      <c r="R12" s="160" t="s">
        <v>171</v>
      </c>
      <c r="S12" s="160" t="s">
        <v>161</v>
      </c>
      <c r="T12" s="160" t="s">
        <v>185</v>
      </c>
    </row>
    <row r="13" spans="1:21" s="161" customFormat="1" ht="18.5" thickBot="1" x14ac:dyDescent="0.4">
      <c r="B13" s="162" t="s">
        <v>186</v>
      </c>
      <c r="C13" s="163">
        <f>SUM(C14:C37)</f>
        <v>20424.660000000003</v>
      </c>
      <c r="D13" s="163">
        <f t="shared" ref="D13:F13" si="0">SUM(D14:D37)</f>
        <v>28361.379999999997</v>
      </c>
      <c r="E13" s="163">
        <f t="shared" si="0"/>
        <v>131</v>
      </c>
      <c r="F13" s="163">
        <f t="shared" si="0"/>
        <v>81823.929999999993</v>
      </c>
      <c r="H13" s="164" t="s">
        <v>175</v>
      </c>
      <c r="J13" s="165" t="s">
        <v>187</v>
      </c>
      <c r="K13" s="166">
        <f>SUM(K14:K15)</f>
        <v>18841.790000000005</v>
      </c>
      <c r="L13" s="166">
        <f ca="1">SUM(L14:L15)</f>
        <v>24464.44</v>
      </c>
      <c r="M13" s="166">
        <f ca="1">SUM(M14:M15)</f>
        <v>134</v>
      </c>
      <c r="N13" s="166">
        <f ca="1">SUM(N14:N15)</f>
        <v>72321.929999999993</v>
      </c>
      <c r="P13" s="165" t="s">
        <v>162</v>
      </c>
      <c r="Q13" s="166">
        <f>SUM(Q14:Q15)</f>
        <v>21360.860000000004</v>
      </c>
      <c r="R13" s="166">
        <f ca="1">SUM(R14:R15)</f>
        <v>29439.579999999998</v>
      </c>
      <c r="S13" s="166">
        <f ca="1">SUM(S14:S15)</f>
        <v>133</v>
      </c>
      <c r="T13" s="166">
        <f>SUM(T14:T15)</f>
        <v>84673.93</v>
      </c>
    </row>
    <row r="14" spans="1:21" ht="18" thickBot="1" x14ac:dyDescent="0.4">
      <c r="B14" s="167" t="str">
        <f>'Capacidade Instalada'!B14</f>
        <v>ISA ENERGIA BRASIL</v>
      </c>
      <c r="C14" s="168">
        <f>'Capacidade Instalada'!C14</f>
        <v>14632.53</v>
      </c>
      <c r="D14" s="168">
        <f>'Capacidade Instalada'!D14</f>
        <v>19503.87</v>
      </c>
      <c r="E14" s="168">
        <f>'Capacidade Instalada'!E14</f>
        <v>109</v>
      </c>
      <c r="F14" s="168">
        <f>'Capacidade Instalada'!F14</f>
        <v>50180.93</v>
      </c>
      <c r="H14" s="169" t="str">
        <f>IF('Capacidade Instalada'!H14="Próprios","Controlled","Coligated")</f>
        <v>Controlled</v>
      </c>
      <c r="J14" s="170" t="s">
        <v>162</v>
      </c>
      <c r="K14" s="171">
        <f>'Capacidade Instalada'!K14</f>
        <v>17203.790000000005</v>
      </c>
      <c r="L14" s="171">
        <f ca="1">'Capacidade Instalada'!L14</f>
        <v>22304.44</v>
      </c>
      <c r="M14" s="171">
        <f ca="1">'Capacidade Instalada'!M14</f>
        <v>130</v>
      </c>
      <c r="N14" s="171">
        <f>'Capacidade Instalada'!N14</f>
        <v>72121.929999999993</v>
      </c>
      <c r="P14" s="170" t="s">
        <v>187</v>
      </c>
      <c r="Q14" s="171">
        <f>K14</f>
        <v>17203.790000000005</v>
      </c>
      <c r="R14" s="171">
        <f ca="1">L14</f>
        <v>22304.44</v>
      </c>
      <c r="S14" s="171">
        <f ca="1">M14</f>
        <v>130</v>
      </c>
      <c r="T14" s="171">
        <f>N14</f>
        <v>72121.929999999993</v>
      </c>
    </row>
    <row r="15" spans="1:21" ht="18" thickBot="1" x14ac:dyDescent="0.4">
      <c r="B15" s="172" t="str">
        <f>'Capacidade Instalada'!B15</f>
        <v>IENNE</v>
      </c>
      <c r="C15" s="173">
        <f>'Capacidade Instalada'!C15</f>
        <v>710.87</v>
      </c>
      <c r="D15" s="173">
        <f>'Capacidade Instalada'!D15</f>
        <v>710.87</v>
      </c>
      <c r="E15" s="173">
        <f>'Capacidade Instalada'!E15</f>
        <v>0</v>
      </c>
      <c r="F15" s="173">
        <f>'Capacidade Instalada'!F15</f>
        <v>0</v>
      </c>
      <c r="H15" s="169" t="str">
        <f>IF('Capacidade Instalada'!H15="Próprios","Controlled","Coligated")</f>
        <v>Controlled</v>
      </c>
      <c r="J15" s="170" t="s">
        <v>163</v>
      </c>
      <c r="K15" s="171">
        <f>'Capacidade Instalada'!K15</f>
        <v>1638</v>
      </c>
      <c r="L15" s="171">
        <f>'Capacidade Instalada'!L15</f>
        <v>2160</v>
      </c>
      <c r="M15" s="171">
        <f>'Capacidade Instalada'!M15</f>
        <v>4</v>
      </c>
      <c r="N15" s="171">
        <f ca="1">'Capacidade Instalada'!N15</f>
        <v>200</v>
      </c>
      <c r="P15" s="170" t="s">
        <v>188</v>
      </c>
      <c r="Q15" s="171">
        <f>K17</f>
        <v>4157.07</v>
      </c>
      <c r="R15" s="171">
        <f>L17</f>
        <v>7135.14</v>
      </c>
      <c r="S15" s="171">
        <f>M17</f>
        <v>3</v>
      </c>
      <c r="T15" s="171">
        <f>N17</f>
        <v>12552</v>
      </c>
    </row>
    <row r="16" spans="1:21" ht="18.5" thickBot="1" x14ac:dyDescent="0.4">
      <c r="B16" s="167" t="str">
        <f>'Capacidade Instalada'!B16</f>
        <v>IEMG</v>
      </c>
      <c r="C16" s="168">
        <f>'Capacidade Instalada'!C16</f>
        <v>173.03</v>
      </c>
      <c r="D16" s="168">
        <f>'Capacidade Instalada'!D16</f>
        <v>173.03</v>
      </c>
      <c r="E16" s="168">
        <f>'Capacidade Instalada'!E16</f>
        <v>0</v>
      </c>
      <c r="F16" s="168">
        <f>'Capacidade Instalada'!F16</f>
        <v>0</v>
      </c>
      <c r="H16" s="169" t="str">
        <f>IF('Capacidade Instalada'!H16="Próprios","Controlled","Coligated")</f>
        <v>Controlled</v>
      </c>
      <c r="J16" s="174" t="s">
        <v>188</v>
      </c>
      <c r="K16" s="175">
        <f ca="1">SUM(K17:K18)</f>
        <v>4157.07</v>
      </c>
      <c r="L16" s="175">
        <f ca="1">SUM(L17:L18)</f>
        <v>7135.14</v>
      </c>
      <c r="M16" s="175">
        <f ca="1">SUM(M17:M18)</f>
        <v>3</v>
      </c>
      <c r="N16" s="175">
        <f ca="1">SUM(N17:N18)</f>
        <v>12552</v>
      </c>
      <c r="P16" s="174" t="s">
        <v>163</v>
      </c>
      <c r="Q16" s="175">
        <f ca="1">SUM(Q17:Q18)</f>
        <v>1638</v>
      </c>
      <c r="R16" s="175">
        <f ca="1">SUM(R17:R18)</f>
        <v>2160</v>
      </c>
      <c r="S16" s="175">
        <f ca="1">SUM(S17:S18)</f>
        <v>4</v>
      </c>
      <c r="T16" s="175">
        <f ca="1">SUM(T17:T18)</f>
        <v>200</v>
      </c>
    </row>
    <row r="17" spans="2:20" ht="18" thickBot="1" x14ac:dyDescent="0.4">
      <c r="B17" s="172" t="str">
        <f>'Capacidade Instalada'!B17</f>
        <v>Evrecy/Minuano</v>
      </c>
      <c r="C17" s="173">
        <f>'Capacidade Instalada'!C17</f>
        <v>77.11</v>
      </c>
      <c r="D17" s="173">
        <f>'Capacidade Instalada'!D17</f>
        <v>77.11</v>
      </c>
      <c r="E17" s="173">
        <f>'Capacidade Instalada'!E17</f>
        <v>1</v>
      </c>
      <c r="F17" s="173">
        <f>'Capacidade Instalada'!F17</f>
        <v>2691</v>
      </c>
      <c r="H17" s="169" t="str">
        <f>IF('Capacidade Instalada'!H18="Próprios","Controlled","Coligated")</f>
        <v>Controlled</v>
      </c>
      <c r="J17" s="170" t="s">
        <v>162</v>
      </c>
      <c r="K17" s="171">
        <f>'Capacidade Instalada'!K17</f>
        <v>4157.07</v>
      </c>
      <c r="L17" s="171">
        <f>'Capacidade Instalada'!L17</f>
        <v>7135.14</v>
      </c>
      <c r="M17" s="171">
        <f>'Capacidade Instalada'!M17</f>
        <v>3</v>
      </c>
      <c r="N17" s="171">
        <f>'Capacidade Instalada'!N17</f>
        <v>12552</v>
      </c>
      <c r="P17" s="170" t="s">
        <v>187</v>
      </c>
      <c r="Q17" s="171">
        <f>K15</f>
        <v>1638</v>
      </c>
      <c r="R17" s="171">
        <f>L15</f>
        <v>2160</v>
      </c>
      <c r="S17" s="171">
        <f>M15</f>
        <v>4</v>
      </c>
      <c r="T17" s="171">
        <f ca="1">N15</f>
        <v>200</v>
      </c>
    </row>
    <row r="18" spans="2:20" ht="18" thickBot="1" x14ac:dyDescent="0.4">
      <c r="B18" s="167" t="str">
        <f>'Capacidade Instalada'!B18</f>
        <v>IE Pinheiros</v>
      </c>
      <c r="C18" s="168">
        <f>'Capacidade Instalada'!C18</f>
        <v>0</v>
      </c>
      <c r="D18" s="168">
        <f>'Capacidade Instalada'!D18</f>
        <v>0</v>
      </c>
      <c r="E18" s="168">
        <f>'Capacidade Instalada'!E18</f>
        <v>1</v>
      </c>
      <c r="F18" s="168">
        <f>'Capacidade Instalada'!F18</f>
        <v>400</v>
      </c>
      <c r="H18" s="169" t="str">
        <f>IF('Capacidade Instalada'!H19="Próprios","Controlled","Coligated")</f>
        <v>Controlled</v>
      </c>
      <c r="J18" s="170" t="s">
        <v>163</v>
      </c>
      <c r="K18" s="171">
        <f ca="1">'Capacidade Instalada'!K18</f>
        <v>0</v>
      </c>
      <c r="L18" s="171">
        <f ca="1">'Capacidade Instalada'!L18</f>
        <v>0</v>
      </c>
      <c r="M18" s="171">
        <f ca="1">'Capacidade Instalada'!M18</f>
        <v>0</v>
      </c>
      <c r="N18" s="171">
        <f ca="1">'Capacidade Instalada'!N18</f>
        <v>0</v>
      </c>
      <c r="P18" s="170" t="s">
        <v>188</v>
      </c>
      <c r="Q18" s="171">
        <f ca="1">K18</f>
        <v>0</v>
      </c>
      <c r="R18" s="171">
        <f ca="1">L18</f>
        <v>0</v>
      </c>
      <c r="S18" s="171">
        <f ca="1">M18</f>
        <v>0</v>
      </c>
      <c r="T18" s="171">
        <f ca="1">N18</f>
        <v>0</v>
      </c>
    </row>
    <row r="19" spans="2:20" ht="18.5" thickBot="1" x14ac:dyDescent="0.4">
      <c r="B19" s="172" t="str">
        <f>'Capacidade Instalada'!B19</f>
        <v>IE Serra do Japi</v>
      </c>
      <c r="C19" s="173">
        <f>'Capacidade Instalada'!C19</f>
        <v>0</v>
      </c>
      <c r="D19" s="173">
        <f>'Capacidade Instalada'!D19</f>
        <v>0</v>
      </c>
      <c r="E19" s="173">
        <f>'Capacidade Instalada'!E19</f>
        <v>2</v>
      </c>
      <c r="F19" s="173">
        <f>'Capacidade Instalada'!F19</f>
        <v>2000</v>
      </c>
      <c r="H19" s="169" t="str">
        <f>IF('Capacidade Instalada'!H20="Próprios","Controlled","Coligated")</f>
        <v>Controlled</v>
      </c>
      <c r="J19" s="176" t="s">
        <v>103</v>
      </c>
      <c r="K19" s="177">
        <f ca="1">SUM(K13,K16)</f>
        <v>22998.860000000004</v>
      </c>
      <c r="L19" s="177">
        <f ca="1">SUM(L13,L16)</f>
        <v>31599.579999999998</v>
      </c>
      <c r="M19" s="177">
        <f ca="1">SUM(M13,M16)</f>
        <v>137</v>
      </c>
      <c r="N19" s="177">
        <f ca="1">SUM(N13,N16)</f>
        <v>84873.93</v>
      </c>
      <c r="P19" s="176" t="s">
        <v>103</v>
      </c>
      <c r="Q19" s="177">
        <f ca="1">SUM(Q13,Q16)</f>
        <v>22998.860000000004</v>
      </c>
      <c r="R19" s="177">
        <f ca="1">SUM(R13,R16)</f>
        <v>31599.579999999998</v>
      </c>
      <c r="S19" s="177">
        <f ca="1">SUM(S13,S16)</f>
        <v>137</v>
      </c>
      <c r="T19" s="177">
        <f ca="1">SUM(T13,T16)</f>
        <v>84873.93</v>
      </c>
    </row>
    <row r="20" spans="2:20" ht="18" thickBot="1" x14ac:dyDescent="0.4">
      <c r="B20" s="167" t="str">
        <f>'Capacidade Instalada'!B20</f>
        <v>IE SUL</v>
      </c>
      <c r="C20" s="168">
        <f>'Capacidade Instalada'!C20</f>
        <v>178.66</v>
      </c>
      <c r="D20" s="168">
        <f>'Capacidade Instalada'!D20</f>
        <v>202</v>
      </c>
      <c r="E20" s="168">
        <f>'Capacidade Instalada'!E20</f>
        <v>2</v>
      </c>
      <c r="F20" s="168">
        <f>'Capacidade Instalada'!F20</f>
        <v>900</v>
      </c>
      <c r="H20" s="169" t="str">
        <f>IF('Capacidade Instalada'!H21="Próprios","Controlled","Coligated")</f>
        <v>Controlled</v>
      </c>
      <c r="O20" s="178"/>
    </row>
    <row r="21" spans="2:20" ht="18" thickBot="1" x14ac:dyDescent="0.4">
      <c r="B21" s="172" t="str">
        <f>'Capacidade Instalada'!B21</f>
        <v>IE Itapura</v>
      </c>
      <c r="C21" s="173">
        <f>'Capacidade Instalada'!C21</f>
        <v>0</v>
      </c>
      <c r="D21" s="173">
        <f>'Capacidade Instalada'!D21</f>
        <v>0</v>
      </c>
      <c r="E21" s="173">
        <f>'Capacidade Instalada'!E21</f>
        <v>1</v>
      </c>
      <c r="F21" s="173">
        <f>'Capacidade Instalada'!F21</f>
        <v>2000</v>
      </c>
      <c r="H21" s="169" t="str">
        <f>IF('Capacidade Instalada'!H22="Próprios","Controlled","Coligated")</f>
        <v>Coligated</v>
      </c>
      <c r="J21" s="178"/>
      <c r="K21" s="179"/>
      <c r="L21" s="179"/>
      <c r="M21" s="179"/>
      <c r="N21" s="179"/>
      <c r="P21" s="178"/>
      <c r="Q21" s="179"/>
      <c r="R21" s="179"/>
      <c r="S21" s="179"/>
      <c r="T21" s="179"/>
    </row>
    <row r="22" spans="2:20" ht="18" thickBot="1" x14ac:dyDescent="0.4">
      <c r="B22" s="167" t="str">
        <f>'Capacidade Instalada'!B22</f>
        <v>IE Madeira</v>
      </c>
      <c r="C22" s="168">
        <f>'Capacidade Instalada'!C22</f>
        <v>2385</v>
      </c>
      <c r="D22" s="168">
        <f>'Capacidade Instalada'!D22</f>
        <v>4770</v>
      </c>
      <c r="E22" s="168">
        <f>'Capacidade Instalada'!E22</f>
        <v>0</v>
      </c>
      <c r="F22" s="168">
        <f>'Capacidade Instalada'!F22</f>
        <v>7464</v>
      </c>
      <c r="H22" s="169" t="str">
        <f>IF('Capacidade Instalada'!H23="Próprios","Controlled","Coligated")</f>
        <v>Coligated</v>
      </c>
    </row>
    <row r="23" spans="2:20" ht="18" thickBot="1" x14ac:dyDescent="0.4">
      <c r="B23" s="172" t="str">
        <f>'Capacidade Instalada'!B23</f>
        <v>IE Garanhuns</v>
      </c>
      <c r="C23" s="173">
        <f>'Capacidade Instalada'!C23</f>
        <v>633</v>
      </c>
      <c r="D23" s="173">
        <f>'Capacidade Instalada'!D23</f>
        <v>633</v>
      </c>
      <c r="E23" s="173">
        <f>'Capacidade Instalada'!E23</f>
        <v>2</v>
      </c>
      <c r="F23" s="173">
        <f>'Capacidade Instalada'!F23</f>
        <v>2100</v>
      </c>
      <c r="H23" s="169" t="str">
        <f>IF('Capacidade Instalada'!H24="Próprios","Controlled","Coligated")</f>
        <v>Controlled</v>
      </c>
    </row>
    <row r="24" spans="2:20" ht="18" thickBot="1" x14ac:dyDescent="0.4">
      <c r="B24" s="167" t="str">
        <f>'Capacidade Instalada'!B24</f>
        <v>IE Itaquerê</v>
      </c>
      <c r="C24" s="168">
        <f>'Capacidade Instalada'!C24</f>
        <v>0</v>
      </c>
      <c r="D24" s="168">
        <f>'Capacidade Instalada'!D24</f>
        <v>0</v>
      </c>
      <c r="E24" s="168">
        <f>'Capacidade Instalada'!E24</f>
        <v>0</v>
      </c>
      <c r="F24" s="168">
        <f>'Capacidade Instalada'!F24</f>
        <v>900</v>
      </c>
      <c r="H24" s="169" t="str">
        <f>IF('Capacidade Instalada'!H25="Próprios","Controlled","Coligated")</f>
        <v>Controlled</v>
      </c>
    </row>
    <row r="25" spans="2:20" ht="18" thickBot="1" x14ac:dyDescent="0.4">
      <c r="B25" s="172" t="str">
        <f>'Capacidade Instalada'!B25</f>
        <v>IE Tibagi</v>
      </c>
      <c r="C25" s="173">
        <f>'Capacidade Instalada'!C25</f>
        <v>53.79</v>
      </c>
      <c r="D25" s="173">
        <f>'Capacidade Instalada'!D25</f>
        <v>70.55</v>
      </c>
      <c r="E25" s="173">
        <f>'Capacidade Instalada'!E25</f>
        <v>0</v>
      </c>
      <c r="F25" s="173">
        <f>'Capacidade Instalada'!F25</f>
        <v>500</v>
      </c>
      <c r="H25" s="169" t="str">
        <f>IF('Capacidade Instalada'!H26="Próprios","Controlled","Coligated")</f>
        <v>Controlled</v>
      </c>
      <c r="J25" s="180"/>
      <c r="K25" s="180"/>
      <c r="L25" s="180"/>
      <c r="M25" s="181"/>
    </row>
    <row r="26" spans="2:20" s="161" customFormat="1" ht="18" thickBot="1" x14ac:dyDescent="0.4">
      <c r="B26" s="167" t="str">
        <f>'Capacidade Instalada'!B26</f>
        <v>IE Aguapeí</v>
      </c>
      <c r="C26" s="168">
        <f>'Capacidade Instalada'!C26</f>
        <v>0</v>
      </c>
      <c r="D26" s="168">
        <f>'Capacidade Instalada'!D26</f>
        <v>0</v>
      </c>
      <c r="E26" s="168">
        <f>'Capacidade Instalada'!E26</f>
        <v>2</v>
      </c>
      <c r="F26" s="168">
        <f>'Capacidade Instalada'!F26</f>
        <v>1400</v>
      </c>
      <c r="G26" s="82"/>
      <c r="H26" s="169" t="str">
        <f>IF('Capacidade Instalada'!H27="Próprios","Controlled","Coligated")</f>
        <v>Controlled</v>
      </c>
      <c r="I26" s="82"/>
    </row>
    <row r="27" spans="2:20" s="161" customFormat="1" ht="18" thickBot="1" x14ac:dyDescent="0.4">
      <c r="B27" s="172" t="str">
        <f>'Capacidade Instalada'!B27</f>
        <v>IE Biguaçu</v>
      </c>
      <c r="C27" s="173">
        <f>'Capacidade Instalada'!C27</f>
        <v>38.14</v>
      </c>
      <c r="D27" s="173">
        <f>'Capacidade Instalada'!D27</f>
        <v>54.4</v>
      </c>
      <c r="E27" s="173">
        <f>'Capacidade Instalada'!E27</f>
        <v>1</v>
      </c>
      <c r="F27" s="173">
        <f>'Capacidade Instalada'!F27</f>
        <v>300</v>
      </c>
      <c r="G27" s="82"/>
      <c r="H27" s="169" t="str">
        <f>IF('Capacidade Instalada'!H28="Próprios","Controlled","Coligated")</f>
        <v>Controlled</v>
      </c>
      <c r="I27" s="82"/>
    </row>
    <row r="28" spans="2:20" ht="18" thickBot="1" x14ac:dyDescent="0.4">
      <c r="B28" s="167" t="str">
        <f>'Capacidade Instalada'!B28</f>
        <v>IE Jaguar 6</v>
      </c>
      <c r="C28" s="168">
        <f>'Capacidade Instalada'!C28</f>
        <v>137.29</v>
      </c>
      <c r="D28" s="168">
        <f>'Capacidade Instalada'!D28</f>
        <v>137.29</v>
      </c>
      <c r="E28" s="168">
        <f>'Capacidade Instalada'!E28</f>
        <v>0</v>
      </c>
      <c r="F28" s="168">
        <f>'Capacidade Instalada'!F28</f>
        <v>250</v>
      </c>
      <c r="H28" s="169" t="str">
        <f>IF('Capacidade Instalada'!H29="Próprios","Controlled","Coligated")</f>
        <v>Controlled</v>
      </c>
      <c r="J28" s="180"/>
      <c r="K28" s="180"/>
      <c r="L28" s="180"/>
      <c r="M28" s="181"/>
    </row>
    <row r="29" spans="2:20" ht="18" thickBot="1" x14ac:dyDescent="0.4">
      <c r="B29" s="172" t="str">
        <f>'Capacidade Instalada'!B29</f>
        <v>IE Jaguar 8</v>
      </c>
      <c r="C29" s="173">
        <f>'Capacidade Instalada'!C29</f>
        <v>0.71</v>
      </c>
      <c r="D29" s="173">
        <f>'Capacidade Instalada'!D29</f>
        <v>1.44</v>
      </c>
      <c r="E29" s="173">
        <f>'Capacidade Instalada'!E29</f>
        <v>1</v>
      </c>
      <c r="F29" s="173">
        <f>'Capacidade Instalada'!F29</f>
        <v>1200</v>
      </c>
      <c r="H29" s="169" t="str">
        <f>IF('Capacidade Instalada'!H30="Próprios","Controlled","Coligated")</f>
        <v>Controlled</v>
      </c>
      <c r="J29" s="180"/>
      <c r="K29" s="180"/>
      <c r="L29" s="180"/>
      <c r="M29" s="181"/>
    </row>
    <row r="30" spans="2:20" ht="18" thickBot="1" x14ac:dyDescent="0.4">
      <c r="B30" s="167" t="str">
        <f>'Capacidade Instalada'!B30</f>
        <v>IE Jaguar 9</v>
      </c>
      <c r="C30" s="168">
        <f>'Capacidade Instalada'!C30</f>
        <v>0</v>
      </c>
      <c r="D30" s="168">
        <f>'Capacidade Instalada'!D30</f>
        <v>0</v>
      </c>
      <c r="E30" s="168">
        <f>'Capacidade Instalada'!E30</f>
        <v>3</v>
      </c>
      <c r="F30" s="168">
        <f>'Capacidade Instalada'!F30</f>
        <v>2400</v>
      </c>
      <c r="H30" s="169" t="str">
        <f>IF('Capacidade Instalada'!H31="Próprios","Controlled","Coligated")</f>
        <v>Coligated</v>
      </c>
      <c r="J30" s="180"/>
      <c r="K30" s="180"/>
      <c r="L30" s="180"/>
      <c r="M30" s="181"/>
    </row>
    <row r="31" spans="2:20" ht="18" thickBot="1" x14ac:dyDescent="0.4">
      <c r="B31" s="172" t="str">
        <f>'Capacidade Instalada'!B31</f>
        <v>IE Aimorés</v>
      </c>
      <c r="C31" s="173">
        <f>'Capacidade Instalada'!C31</f>
        <v>208</v>
      </c>
      <c r="D31" s="173">
        <f>'Capacidade Instalada'!D31</f>
        <v>208</v>
      </c>
      <c r="E31" s="173">
        <f>'Capacidade Instalada'!E31</f>
        <v>0</v>
      </c>
      <c r="F31" s="173">
        <f>'Capacidade Instalada'!F31</f>
        <v>0</v>
      </c>
      <c r="H31" s="169" t="str">
        <f>IF('Capacidade Instalada'!H32="Próprios","Controlled","Coligated")</f>
        <v>Coligated</v>
      </c>
      <c r="J31" s="180"/>
      <c r="K31" s="180"/>
      <c r="L31" s="180"/>
      <c r="M31" s="181"/>
    </row>
    <row r="32" spans="2:20" ht="18" thickBot="1" x14ac:dyDescent="0.4">
      <c r="B32" s="167" t="str">
        <f>'Capacidade Instalada'!B32</f>
        <v>IE Paraguaçu</v>
      </c>
      <c r="C32" s="168">
        <f>'Capacidade Instalada'!C32</f>
        <v>338</v>
      </c>
      <c r="D32" s="168">
        <f>'Capacidade Instalada'!D32</f>
        <v>338</v>
      </c>
      <c r="E32" s="168">
        <f>'Capacidade Instalada'!E32</f>
        <v>0</v>
      </c>
      <c r="F32" s="168">
        <f>'Capacidade Instalada'!F32</f>
        <v>0</v>
      </c>
      <c r="H32" s="169" t="str">
        <f>IF('Capacidade Instalada'!H33="Próprios","Controlled","Coligated")</f>
        <v>Coligated</v>
      </c>
      <c r="J32" s="180"/>
      <c r="K32" s="180"/>
      <c r="L32" s="180"/>
      <c r="M32" s="181"/>
    </row>
    <row r="33" spans="2:14" ht="18" thickBot="1" x14ac:dyDescent="0.4">
      <c r="B33" s="172" t="str">
        <f>'Capacidade Instalada'!B33</f>
        <v>IE Ivaí</v>
      </c>
      <c r="C33" s="173">
        <f>'Capacidade Instalada'!C33</f>
        <v>593.07000000000005</v>
      </c>
      <c r="D33" s="173">
        <f>'Capacidade Instalada'!D33</f>
        <v>1186.1400000000001</v>
      </c>
      <c r="E33" s="173">
        <f>'Capacidade Instalada'!E33</f>
        <v>1</v>
      </c>
      <c r="F33" s="173">
        <f>'Capacidade Instalada'!F33</f>
        <v>2988</v>
      </c>
      <c r="H33" s="169" t="str">
        <f>IF('Capacidade Instalada'!H34="Próprios","Controlled","Coligated")</f>
        <v>Controlled</v>
      </c>
      <c r="I33" s="186"/>
      <c r="J33" s="186"/>
      <c r="K33" s="186"/>
      <c r="L33" s="186"/>
      <c r="M33" s="181"/>
    </row>
    <row r="34" spans="2:14" ht="18" thickBot="1" x14ac:dyDescent="0.4">
      <c r="B34" s="167" t="str">
        <f>'Capacidade Instalada'!B34</f>
        <v>IE Itaúnas</v>
      </c>
      <c r="C34" s="168">
        <f>'Capacidade Instalada'!C34</f>
        <v>77.03</v>
      </c>
      <c r="D34" s="168">
        <f>'Capacidade Instalada'!D34</f>
        <v>77.03</v>
      </c>
      <c r="E34" s="168">
        <f>'Capacidade Instalada'!E34</f>
        <v>1</v>
      </c>
      <c r="F34" s="168">
        <f>'Capacidade Instalada'!F34</f>
        <v>1350</v>
      </c>
      <c r="G34" s="186"/>
      <c r="H34" s="169" t="str">
        <f>IF('Capacidade Instalada'!H35="Próprios","Controlled","Coligated")</f>
        <v>Controlled</v>
      </c>
      <c r="I34" s="187"/>
      <c r="J34" s="187"/>
      <c r="K34" s="187"/>
      <c r="L34" s="187"/>
      <c r="M34" s="181"/>
      <c r="N34" s="188"/>
    </row>
    <row r="35" spans="2:14" ht="18" thickBot="1" x14ac:dyDescent="0.4">
      <c r="B35" s="172" t="str">
        <f>'Capacidade Instalada'!B35</f>
        <v>Triângulo Mineiro</v>
      </c>
      <c r="C35" s="173">
        <f>'Capacidade Instalada'!C35</f>
        <v>158.21000000000029</v>
      </c>
      <c r="D35" s="173">
        <f>'Capacidade Instalada'!D35</f>
        <v>158.21000000000174</v>
      </c>
      <c r="E35" s="173">
        <f>'Capacidade Instalada'!E35</f>
        <v>3</v>
      </c>
      <c r="F35" s="173">
        <f>'Capacidade Instalada'!F35</f>
        <v>1600</v>
      </c>
      <c r="G35" s="186"/>
      <c r="H35" s="169" t="str">
        <f>IF('Capacidade Instalada'!H35="Próprios","Controlled","Coligated")</f>
        <v>Controlled</v>
      </c>
    </row>
    <row r="36" spans="2:14" ht="21" customHeight="1" thickBot="1" x14ac:dyDescent="0.4">
      <c r="B36" s="167" t="str">
        <f>'Capacidade Instalada'!B36</f>
        <v>Água Vermelha</v>
      </c>
      <c r="C36" s="168">
        <f>'Capacidade Instalada'!C36</f>
        <v>0</v>
      </c>
      <c r="D36" s="168">
        <f>'Capacidade Instalada'!D36</f>
        <v>0</v>
      </c>
      <c r="E36" s="168">
        <f>'Capacidade Instalada'!E36</f>
        <v>0</v>
      </c>
      <c r="F36" s="168">
        <f>'Capacidade Instalada'!F36</f>
        <v>400</v>
      </c>
      <c r="H36" s="169" t="str">
        <f>IF('Capacidade Instalada'!H36="Próprios","Controlled","Coligated")</f>
        <v>Controlled</v>
      </c>
      <c r="I36" s="186"/>
      <c r="J36" s="186"/>
      <c r="K36" s="186"/>
      <c r="L36" s="186"/>
      <c r="M36" s="181"/>
    </row>
    <row r="37" spans="2:14" ht="21" customHeight="1" thickBot="1" x14ac:dyDescent="0.4">
      <c r="B37" s="172" t="str">
        <f>'Capacidade Instalada'!B37</f>
        <v>IE Riacho Grande</v>
      </c>
      <c r="C37" s="173">
        <f>'Capacidade Instalada'!C37</f>
        <v>30.22</v>
      </c>
      <c r="D37" s="173">
        <f>'Capacidade Instalada'!D37</f>
        <v>60.44</v>
      </c>
      <c r="E37" s="173">
        <f>'Capacidade Instalada'!E37</f>
        <v>1</v>
      </c>
      <c r="F37" s="173">
        <f>'Capacidade Instalada'!F37</f>
        <v>800</v>
      </c>
      <c r="H37" s="169" t="str">
        <f>IF('Capacidade Instalada'!H37="Próprios","Controlled","Coligated")</f>
        <v>Controlled</v>
      </c>
      <c r="I37" s="186"/>
      <c r="J37" s="186"/>
      <c r="K37" s="186"/>
      <c r="L37" s="186"/>
      <c r="M37" s="181"/>
    </row>
    <row r="38" spans="2:14" ht="21" customHeight="1" thickBot="1" x14ac:dyDescent="0.4">
      <c r="B38" s="162" t="s">
        <v>163</v>
      </c>
      <c r="C38" s="163">
        <f>SUM(C39:C42)</f>
        <v>2574.1999999999998</v>
      </c>
      <c r="D38" s="163">
        <f t="shared" ref="D38:F38" si="1">SUM(D39:D42)</f>
        <v>3238.2</v>
      </c>
      <c r="E38" s="163">
        <f t="shared" si="1"/>
        <v>6</v>
      </c>
      <c r="F38" s="163">
        <f t="shared" si="1"/>
        <v>3050</v>
      </c>
      <c r="H38" s="169"/>
      <c r="I38" s="186"/>
      <c r="J38" s="186"/>
      <c r="K38" s="186"/>
      <c r="L38" s="186"/>
      <c r="M38" s="181"/>
    </row>
    <row r="39" spans="2:14" ht="18" thickBot="1" x14ac:dyDescent="0.4">
      <c r="B39" s="167" t="str">
        <f>'Capacidade Instalada'!B38</f>
        <v>Piraquê</v>
      </c>
      <c r="C39" s="168">
        <f>'Capacidade Instalada'!C38</f>
        <v>936.2</v>
      </c>
      <c r="D39" s="168">
        <f>'Capacidade Instalada'!D38</f>
        <v>1078.2</v>
      </c>
      <c r="E39" s="168">
        <f>'Capacidade Instalada'!E38</f>
        <v>2</v>
      </c>
      <c r="F39" s="168">
        <f>'Capacidade Instalada'!F38</f>
        <v>2250</v>
      </c>
      <c r="H39" s="169" t="str">
        <f>IF('Capacidade Instalada'!H43="Próprios","Controlled","Coligated")</f>
        <v>Controlled</v>
      </c>
    </row>
    <row r="40" spans="2:14" ht="18" thickBot="1" x14ac:dyDescent="0.4">
      <c r="B40" s="172" t="str">
        <f>'Capacidade Instalada'!B39</f>
        <v>Jacarandá</v>
      </c>
      <c r="C40" s="173">
        <f>'Capacidade Instalada'!C39</f>
        <v>0</v>
      </c>
      <c r="D40" s="173">
        <f>'Capacidade Instalada'!D39</f>
        <v>0</v>
      </c>
      <c r="E40" s="173">
        <f>'Capacidade Instalada'!E39</f>
        <v>0</v>
      </c>
      <c r="F40" s="173">
        <f>'Capacidade Instalada'!F39</f>
        <v>600</v>
      </c>
      <c r="H40" s="169" t="str">
        <f>IF('Capacidade Instalada'!H41="Próprios","Controlled","Coligated")</f>
        <v>Controlled</v>
      </c>
    </row>
    <row r="41" spans="2:14" ht="18" thickBot="1" x14ac:dyDescent="0.4">
      <c r="B41" s="167" t="str">
        <f>'Capacidade Instalada'!B41</f>
        <v>Serra Dourada</v>
      </c>
      <c r="C41" s="168">
        <f>'Capacidade Instalada'!C41</f>
        <v>1116</v>
      </c>
      <c r="D41" s="168">
        <f>'Capacidade Instalada'!D41</f>
        <v>1116</v>
      </c>
      <c r="E41" s="168">
        <f>'Capacidade Instalada'!E41</f>
        <v>3</v>
      </c>
      <c r="F41" s="168">
        <f>'Capacidade Instalada'!F41</f>
        <v>200</v>
      </c>
      <c r="H41" s="169" t="str">
        <f>IF('Capacidade Instalada'!H42="Próprios","Controlled","Coligated")</f>
        <v>Controlled</v>
      </c>
    </row>
    <row r="42" spans="2:14" ht="18" thickBot="1" x14ac:dyDescent="0.4">
      <c r="B42" s="172" t="str">
        <f>'Capacidade Instalada'!B42</f>
        <v>Itatiaia</v>
      </c>
      <c r="C42" s="173">
        <f>'Capacidade Instalada'!C42</f>
        <v>522</v>
      </c>
      <c r="D42" s="173">
        <f>'Capacidade Instalada'!D42</f>
        <v>1044</v>
      </c>
      <c r="E42" s="173">
        <f>'Capacidade Instalada'!E42</f>
        <v>1</v>
      </c>
      <c r="F42" s="173">
        <f>'Capacidade Instalada'!F42</f>
        <v>0</v>
      </c>
      <c r="H42" s="169" t="str">
        <f>IF('Capacidade Instalada'!H44="Próprios","Controlled","Coligated")</f>
        <v>Coligated</v>
      </c>
      <c r="I42" s="186"/>
    </row>
    <row r="43" spans="2:14" ht="18" x14ac:dyDescent="0.35">
      <c r="B43" s="190" t="s">
        <v>103</v>
      </c>
      <c r="C43" s="177">
        <f>C38+C13</f>
        <v>22998.860000000004</v>
      </c>
      <c r="D43" s="177">
        <f t="shared" ref="D43:F43" si="2">D38+D13</f>
        <v>31599.579999999998</v>
      </c>
      <c r="E43" s="177">
        <f t="shared" si="2"/>
        <v>137</v>
      </c>
      <c r="F43" s="177">
        <f t="shared" si="2"/>
        <v>84873.93</v>
      </c>
      <c r="H43" s="169"/>
    </row>
    <row r="44" spans="2:14" ht="15.5" x14ac:dyDescent="0.35"/>
    <row r="45" spans="2:14" ht="15.5" x14ac:dyDescent="0.35"/>
    <row r="46" spans="2:14" ht="15.5" x14ac:dyDescent="0.35"/>
    <row r="47" spans="2:14" ht="15.5" x14ac:dyDescent="0.35"/>
    <row r="48" spans="2:14" ht="15.5" x14ac:dyDescent="0.35"/>
    <row r="49" ht="15.5" x14ac:dyDescent="0.35"/>
    <row r="50" ht="15.5" hidden="1" x14ac:dyDescent="0.35"/>
    <row r="51" ht="15.5" hidden="1" x14ac:dyDescent="0.35"/>
    <row r="52" ht="15.5" hidden="1" x14ac:dyDescent="0.35"/>
    <row r="53" ht="15.5" hidden="1" x14ac:dyDescent="0.35"/>
    <row r="54" ht="15.5" hidden="1" x14ac:dyDescent="0.35"/>
    <row r="55" ht="15.5" hidden="1" x14ac:dyDescent="0.35"/>
    <row r="56" ht="15.5" hidden="1" x14ac:dyDescent="0.35"/>
    <row r="57" ht="15.5" hidden="1" x14ac:dyDescent="0.35"/>
    <row r="58" ht="15.5" hidden="1" x14ac:dyDescent="0.35"/>
    <row r="59" ht="15.5" customHeight="1" x14ac:dyDescent="0.35"/>
    <row r="60" ht="15.5" customHeight="1" x14ac:dyDescent="0.35"/>
    <row r="61" ht="15.5" customHeight="1" x14ac:dyDescent="0.35"/>
  </sheetData>
  <mergeCells count="3">
    <mergeCell ref="B2:B5"/>
    <mergeCell ref="B11:B12"/>
    <mergeCell ref="C11:F11"/>
  </mergeCells>
  <hyperlinks>
    <hyperlink ref="F3" location="Menu!A1" display="→Menu←" xr:uid="{082D9DEB-3EFB-47BE-B5D4-39C4B917E04C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ADAB-D111-4C01-B832-F13B6843A179}">
  <sheetPr>
    <tabColor theme="5" tint="0.59999389629810485"/>
  </sheetPr>
  <dimension ref="A1:AL41"/>
  <sheetViews>
    <sheetView showGridLines="0" tabSelected="1" zoomScale="55" zoomScaleNormal="55" workbookViewId="0">
      <pane xSplit="6" ySplit="12" topLeftCell="G13" activePane="bottomRight" state="frozen"/>
      <selection activeCell="T31" sqref="T31"/>
      <selection pane="topRight" activeCell="T31" sqref="T31"/>
      <selection pane="bottomLeft" activeCell="T31" sqref="T31"/>
      <selection pane="bottomRight" activeCell="P18" sqref="P18"/>
    </sheetView>
  </sheetViews>
  <sheetFormatPr defaultColWidth="0" defaultRowHeight="15.5" zeroHeight="1" outlineLevelCol="1" x14ac:dyDescent="0.35"/>
  <cols>
    <col min="1" max="1" width="17.7265625" style="460" customWidth="1"/>
    <col min="2" max="2" width="16.1796875" style="194" customWidth="1"/>
    <col min="3" max="3" width="19.6328125" style="194" customWidth="1"/>
    <col min="4" max="4" width="14.26953125" style="194" customWidth="1"/>
    <col min="5" max="5" width="17.81640625" style="194" customWidth="1"/>
    <col min="6" max="6" width="16.7265625" style="194" customWidth="1"/>
    <col min="7" max="7" width="11.1796875" style="194" customWidth="1"/>
    <col min="8" max="8" width="14.26953125" style="194" customWidth="1"/>
    <col min="9" max="9" width="18.6328125" style="194" customWidth="1"/>
    <col min="10" max="10" width="17.26953125" style="194" hidden="1" customWidth="1" outlineLevel="1"/>
    <col min="11" max="11" width="21.7265625" style="194" customWidth="1" collapsed="1"/>
    <col min="12" max="12" width="12.7265625" style="194" customWidth="1"/>
    <col min="13" max="13" width="23.90625" hidden="1" customWidth="1" outlineLevel="1"/>
    <col min="14" max="14" width="27.6328125" style="194" customWidth="1" collapsed="1"/>
    <col min="15" max="15" width="25.08984375" style="194" customWidth="1"/>
    <col min="16" max="16" width="17" style="194" customWidth="1"/>
    <col min="17" max="17" width="18" style="194" customWidth="1"/>
    <col min="18" max="18" width="17.1796875" style="194" customWidth="1"/>
    <col min="19" max="19" width="14.7265625" style="194" customWidth="1"/>
    <col min="20" max="20" width="18.81640625" style="194" customWidth="1"/>
    <col min="21" max="21" width="5.81640625" style="195" customWidth="1"/>
    <col min="22" max="22" width="19.7265625" style="194" customWidth="1"/>
    <col min="23" max="23" width="20.36328125" style="565" customWidth="1"/>
    <col min="24" max="24" width="9.453125" style="446" customWidth="1"/>
    <col min="25" max="25" width="44.54296875" style="194" bestFit="1" customWidth="1"/>
    <col min="26" max="34" width="9.453125" style="194" customWidth="1"/>
    <col min="35" max="36" width="0" style="194" hidden="1" customWidth="1"/>
    <col min="37" max="38" width="0" style="194" hidden="1"/>
    <col min="39" max="16384" width="9.453125" style="194" hidden="1"/>
  </cols>
  <sheetData>
    <row r="1" spans="1:34" s="1" customFormat="1" ht="3.65" customHeight="1" x14ac:dyDescent="0.35">
      <c r="A1" s="458"/>
      <c r="W1" s="562"/>
      <c r="X1" s="2"/>
    </row>
    <row r="2" spans="1:34" s="8" customFormat="1" ht="15.5" hidden="1" customHeight="1" x14ac:dyDescent="0.35">
      <c r="A2" s="459"/>
      <c r="B2" s="502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35"/>
      <c r="X2" s="6"/>
      <c r="Y2" s="6"/>
      <c r="Z2" s="6"/>
      <c r="AA2" s="6"/>
      <c r="AB2" s="6"/>
      <c r="AC2" s="6"/>
      <c r="AD2" s="6"/>
      <c r="AE2" s="6"/>
      <c r="AF2" s="6"/>
      <c r="AG2" s="7"/>
    </row>
    <row r="3" spans="1:34" s="8" customFormat="1" ht="15.5" hidden="1" customHeight="1" x14ac:dyDescent="0.35">
      <c r="A3" s="459"/>
      <c r="B3" s="503"/>
      <c r="C3" s="9" t="s">
        <v>0</v>
      </c>
      <c r="D3" s="10">
        <v>46112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36"/>
      <c r="X3" s="9"/>
      <c r="Y3" s="9"/>
      <c r="Z3" s="9"/>
      <c r="AA3" s="9"/>
      <c r="AB3" s="9"/>
      <c r="AC3" s="9"/>
      <c r="AD3" s="9"/>
      <c r="AE3" s="9"/>
      <c r="AF3" s="9"/>
      <c r="AG3" s="12"/>
    </row>
    <row r="4" spans="1:34" s="8" customFormat="1" ht="15.5" hidden="1" customHeight="1" x14ac:dyDescent="0.35">
      <c r="A4" s="459"/>
      <c r="B4" s="503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536"/>
      <c r="X4" s="9"/>
      <c r="Y4" s="9"/>
      <c r="Z4" s="9"/>
      <c r="AA4" s="9"/>
      <c r="AB4" s="9"/>
      <c r="AC4" s="9"/>
      <c r="AD4" s="9"/>
      <c r="AE4" s="9"/>
      <c r="AF4" s="9"/>
      <c r="AG4" s="12"/>
    </row>
    <row r="5" spans="1:34" s="8" customFormat="1" ht="16" hidden="1" customHeight="1" x14ac:dyDescent="0.35">
      <c r="A5" s="459"/>
      <c r="B5" s="504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537"/>
      <c r="X5" s="16"/>
      <c r="Y5" s="16"/>
      <c r="Z5" s="16"/>
      <c r="AA5" s="16"/>
      <c r="AB5" s="16"/>
      <c r="AC5" s="16"/>
      <c r="AD5" s="16"/>
      <c r="AE5" s="16"/>
      <c r="AF5" s="16"/>
      <c r="AG5" s="17"/>
    </row>
    <row r="6" spans="1:34" s="1" customFormat="1" ht="5.9" customHeight="1" x14ac:dyDescent="0.35">
      <c r="A6" s="458"/>
      <c r="W6" s="562"/>
      <c r="X6" s="2"/>
    </row>
    <row r="7" spans="1:34" s="1" customFormat="1" ht="3" customHeight="1" x14ac:dyDescent="0.35">
      <c r="A7" s="458"/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  <c r="U7" s="191"/>
      <c r="V7" s="18"/>
      <c r="W7" s="563"/>
      <c r="X7" s="2"/>
    </row>
    <row r="8" spans="1:34" s="1" customFormat="1" ht="15.5" hidden="1" customHeight="1" x14ac:dyDescent="0.35">
      <c r="A8" s="458"/>
      <c r="B8" s="20" t="s">
        <v>189</v>
      </c>
      <c r="C8" s="21"/>
      <c r="D8" s="21"/>
      <c r="E8" s="21"/>
      <c r="F8" s="21"/>
      <c r="G8" s="21"/>
      <c r="H8" s="21"/>
      <c r="I8" s="19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564"/>
      <c r="X8" s="2"/>
    </row>
    <row r="9" spans="1:34" s="1" customFormat="1" ht="5.9" customHeight="1" x14ac:dyDescent="0.35">
      <c r="A9" s="458"/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  <c r="U9" s="191"/>
      <c r="V9" s="18"/>
      <c r="W9" s="563"/>
      <c r="X9" s="2"/>
    </row>
    <row r="10" spans="1:34" ht="12.65" customHeight="1" thickBot="1" x14ac:dyDescent="0.4">
      <c r="B10" s="193"/>
      <c r="M10" s="194"/>
    </row>
    <row r="11" spans="1:34" ht="41.5" customHeight="1" thickBot="1" x14ac:dyDescent="0.4">
      <c r="B11" s="509" t="s">
        <v>190</v>
      </c>
      <c r="C11" s="511" t="s">
        <v>191</v>
      </c>
      <c r="D11" s="511" t="s">
        <v>5</v>
      </c>
      <c r="E11" s="511" t="s">
        <v>4</v>
      </c>
      <c r="F11" s="509" t="s">
        <v>192</v>
      </c>
      <c r="G11" s="509" t="s">
        <v>105</v>
      </c>
      <c r="H11" s="509" t="s">
        <v>193</v>
      </c>
      <c r="I11" s="509" t="s">
        <v>194</v>
      </c>
      <c r="J11" s="509" t="s">
        <v>195</v>
      </c>
      <c r="K11" s="509" t="s">
        <v>196</v>
      </c>
      <c r="L11" s="509" t="s">
        <v>197</v>
      </c>
      <c r="M11" s="516" t="s">
        <v>198</v>
      </c>
      <c r="N11" s="509" t="s">
        <v>199</v>
      </c>
      <c r="O11" s="509" t="s">
        <v>336</v>
      </c>
      <c r="P11" s="509" t="s">
        <v>200</v>
      </c>
      <c r="Q11" s="509" t="s">
        <v>201</v>
      </c>
      <c r="R11" s="509" t="s">
        <v>337</v>
      </c>
      <c r="S11" s="509" t="s">
        <v>338</v>
      </c>
      <c r="T11" s="509" t="s">
        <v>339</v>
      </c>
      <c r="U11" s="196"/>
      <c r="V11" s="518" t="s">
        <v>340</v>
      </c>
      <c r="W11" s="566" t="s">
        <v>342</v>
      </c>
    </row>
    <row r="12" spans="1:34" ht="68" customHeight="1" thickBot="1" x14ac:dyDescent="0.4">
      <c r="B12" s="510"/>
      <c r="C12" s="512"/>
      <c r="D12" s="512"/>
      <c r="E12" s="512"/>
      <c r="F12" s="510"/>
      <c r="G12" s="510"/>
      <c r="H12" s="510"/>
      <c r="I12" s="510"/>
      <c r="J12" s="510"/>
      <c r="K12" s="510"/>
      <c r="L12" s="510"/>
      <c r="M12" s="517"/>
      <c r="N12" s="510"/>
      <c r="O12" s="510"/>
      <c r="P12" s="510"/>
      <c r="Q12" s="510"/>
      <c r="R12" s="510"/>
      <c r="S12" s="510"/>
      <c r="T12" s="510"/>
      <c r="U12" s="196"/>
      <c r="V12" s="519"/>
      <c r="W12" s="567" t="s">
        <v>325</v>
      </c>
      <c r="X12" s="447"/>
      <c r="Y12" s="448"/>
      <c r="Z12" s="449">
        <v>2016</v>
      </c>
      <c r="AA12" s="449">
        <f>Z12+1</f>
        <v>2017</v>
      </c>
      <c r="AB12" s="449">
        <f t="shared" ref="AB12:AG12" si="0">AA12+1</f>
        <v>2018</v>
      </c>
      <c r="AC12" s="449">
        <f t="shared" si="0"/>
        <v>2019</v>
      </c>
      <c r="AD12" s="449">
        <f t="shared" si="0"/>
        <v>2020</v>
      </c>
      <c r="AE12" s="449">
        <f t="shared" si="0"/>
        <v>2021</v>
      </c>
      <c r="AF12" s="449">
        <f t="shared" si="0"/>
        <v>2022</v>
      </c>
      <c r="AG12" s="449">
        <f t="shared" si="0"/>
        <v>2023</v>
      </c>
      <c r="AH12" s="326"/>
    </row>
    <row r="13" spans="1:34" ht="35" customHeight="1" thickBot="1" x14ac:dyDescent="0.4">
      <c r="A13" s="460" t="s">
        <v>43</v>
      </c>
      <c r="B13" s="520" t="s">
        <v>202</v>
      </c>
      <c r="C13" s="198" t="s">
        <v>203</v>
      </c>
      <c r="D13" s="198" t="s">
        <v>42</v>
      </c>
      <c r="E13" s="198" t="s">
        <v>41</v>
      </c>
      <c r="F13" s="199">
        <v>0.5</v>
      </c>
      <c r="G13" s="198" t="s">
        <v>125</v>
      </c>
      <c r="H13" s="200">
        <v>0</v>
      </c>
      <c r="I13" s="202">
        <v>81.182602409363156</v>
      </c>
      <c r="J13" s="201">
        <v>42776</v>
      </c>
      <c r="K13" s="201">
        <v>43466</v>
      </c>
      <c r="L13" s="201">
        <v>44602</v>
      </c>
      <c r="M13" s="202">
        <v>509.59500000000003</v>
      </c>
      <c r="N13" s="202">
        <f>M13*F13</f>
        <v>254.79750000000001</v>
      </c>
      <c r="O13" s="202">
        <v>333.35899999999998</v>
      </c>
      <c r="P13" s="203" t="s">
        <v>204</v>
      </c>
      <c r="Q13" s="204" t="s">
        <v>205</v>
      </c>
      <c r="R13" s="205">
        <v>1</v>
      </c>
      <c r="S13" s="206">
        <v>1</v>
      </c>
      <c r="T13" s="204" t="s">
        <v>206</v>
      </c>
      <c r="U13" s="196"/>
      <c r="V13" s="202">
        <v>399.98807965559723</v>
      </c>
      <c r="W13" s="568">
        <v>2016</v>
      </c>
      <c r="X13" s="450"/>
      <c r="Y13" s="451" t="s">
        <v>326</v>
      </c>
      <c r="Z13" s="452">
        <f t="shared" ref="Z13:AG13" si="1">COUNTIF($W:$W,Z$12)</f>
        <v>3</v>
      </c>
      <c r="AA13" s="452">
        <f t="shared" si="1"/>
        <v>5</v>
      </c>
      <c r="AB13" s="452">
        <f t="shared" si="1"/>
        <v>2</v>
      </c>
      <c r="AC13" s="452">
        <f t="shared" si="1"/>
        <v>3</v>
      </c>
      <c r="AD13" s="452">
        <f t="shared" si="1"/>
        <v>1</v>
      </c>
      <c r="AE13" s="452">
        <f t="shared" si="1"/>
        <v>0</v>
      </c>
      <c r="AF13" s="452">
        <f t="shared" si="1"/>
        <v>2</v>
      </c>
      <c r="AG13" s="452">
        <f t="shared" si="1"/>
        <v>3</v>
      </c>
    </row>
    <row r="14" spans="1:34" ht="35" customHeight="1" thickBot="1" x14ac:dyDescent="0.4">
      <c r="A14" s="460" t="s">
        <v>74</v>
      </c>
      <c r="B14" s="520"/>
      <c r="C14" s="207" t="s">
        <v>207</v>
      </c>
      <c r="D14" s="207" t="s">
        <v>73</v>
      </c>
      <c r="E14" s="207" t="s">
        <v>72</v>
      </c>
      <c r="F14" s="208">
        <v>0.5</v>
      </c>
      <c r="G14" s="209" t="s">
        <v>114</v>
      </c>
      <c r="H14" s="210">
        <v>0</v>
      </c>
      <c r="I14" s="211">
        <v>54.392366149602296</v>
      </c>
      <c r="J14" s="212">
        <v>42776</v>
      </c>
      <c r="K14" s="212">
        <v>43466</v>
      </c>
      <c r="L14" s="212">
        <v>44602</v>
      </c>
      <c r="M14" s="213">
        <v>341.11799999999999</v>
      </c>
      <c r="N14" s="213">
        <f t="shared" ref="N14:N31" si="2">M14*F14</f>
        <v>170.559</v>
      </c>
      <c r="O14" s="213">
        <v>208.2955</v>
      </c>
      <c r="P14" s="214" t="s">
        <v>204</v>
      </c>
      <c r="Q14" s="215" t="s">
        <v>205</v>
      </c>
      <c r="R14" s="216">
        <v>1</v>
      </c>
      <c r="S14" s="217">
        <v>1</v>
      </c>
      <c r="T14" s="215" t="s">
        <v>208</v>
      </c>
      <c r="U14" s="196"/>
      <c r="V14" s="213">
        <v>267.74817993888877</v>
      </c>
      <c r="W14" s="569">
        <v>2016</v>
      </c>
      <c r="X14" s="450"/>
      <c r="Y14" s="451" t="s">
        <v>327</v>
      </c>
      <c r="Z14" s="452">
        <f>Z13</f>
        <v>3</v>
      </c>
      <c r="AA14" s="452">
        <f t="shared" ref="AA14:AG14" si="3">Z14+AA13</f>
        <v>8</v>
      </c>
      <c r="AB14" s="452">
        <f t="shared" si="3"/>
        <v>10</v>
      </c>
      <c r="AC14" s="452">
        <f t="shared" si="3"/>
        <v>13</v>
      </c>
      <c r="AD14" s="452">
        <f t="shared" si="3"/>
        <v>14</v>
      </c>
      <c r="AE14" s="452">
        <f t="shared" si="3"/>
        <v>14</v>
      </c>
      <c r="AF14" s="452">
        <f t="shared" si="3"/>
        <v>16</v>
      </c>
      <c r="AG14" s="452">
        <f t="shared" si="3"/>
        <v>19</v>
      </c>
    </row>
    <row r="15" spans="1:34" ht="35" customHeight="1" thickBot="1" x14ac:dyDescent="0.4">
      <c r="A15" s="460" t="s">
        <v>55</v>
      </c>
      <c r="B15" s="520"/>
      <c r="C15" s="218" t="s">
        <v>209</v>
      </c>
      <c r="D15" s="218" t="s">
        <v>54</v>
      </c>
      <c r="E15" s="218" t="s">
        <v>53</v>
      </c>
      <c r="F15" s="219">
        <v>1</v>
      </c>
      <c r="G15" s="220" t="s">
        <v>112</v>
      </c>
      <c r="H15" s="221">
        <v>0.25140000000000001</v>
      </c>
      <c r="I15" s="222">
        <v>72.109375825255484</v>
      </c>
      <c r="J15" s="223">
        <v>42776</v>
      </c>
      <c r="K15" s="223">
        <v>43282</v>
      </c>
      <c r="L15" s="223">
        <v>44722</v>
      </c>
      <c r="M15" s="224">
        <v>297.81900000000002</v>
      </c>
      <c r="N15" s="224">
        <f t="shared" si="2"/>
        <v>297.81900000000002</v>
      </c>
      <c r="O15" s="224">
        <v>373.803</v>
      </c>
      <c r="P15" s="225" t="s">
        <v>204</v>
      </c>
      <c r="Q15" s="226" t="s">
        <v>210</v>
      </c>
      <c r="R15" s="227">
        <v>1</v>
      </c>
      <c r="S15" s="228">
        <v>1</v>
      </c>
      <c r="T15" s="229" t="s">
        <v>211</v>
      </c>
      <c r="U15" s="196"/>
      <c r="V15" s="224">
        <v>467.52440622435586</v>
      </c>
      <c r="W15" s="570">
        <v>2016</v>
      </c>
      <c r="X15" s="450"/>
      <c r="Y15" s="451" t="s">
        <v>328</v>
      </c>
      <c r="Z15" s="452">
        <f>SUMIF($W:$W,Z$12,$I:$I)</f>
        <v>207.68434438422094</v>
      </c>
      <c r="AA15" s="452">
        <f>SUMIF($W:$W,AA$12,$I:$I)</f>
        <v>393.21796379432573</v>
      </c>
      <c r="AB15" s="452">
        <f>SUMIF($W:$W,AB$12,$I:$I)</f>
        <v>74.577162759576595</v>
      </c>
      <c r="AC15" s="452">
        <f>SUMIF($W:$W,AC$12,$I:$I)</f>
        <v>106.55948643000002</v>
      </c>
      <c r="AD15" s="452">
        <f>SUMIF($W:$W,AD$12,$I:$I)</f>
        <v>93.110359205539737</v>
      </c>
      <c r="AE15" s="452">
        <f>SUMIF($W:$W,AE$12,$I:$I)</f>
        <v>0</v>
      </c>
      <c r="AF15" s="452">
        <f>SUMIF($W:$W,AF$12,$I:$I)</f>
        <v>359.23088107552496</v>
      </c>
      <c r="AG15" s="452">
        <f>SUMIF($W:$W,AG$12,$I:$I)</f>
        <v>578.44487134940493</v>
      </c>
    </row>
    <row r="16" spans="1:34" ht="35" customHeight="1" thickBot="1" x14ac:dyDescent="0.4">
      <c r="A16" s="460" t="s">
        <v>34</v>
      </c>
      <c r="B16" s="513" t="s">
        <v>212</v>
      </c>
      <c r="C16" s="230" t="s">
        <v>213</v>
      </c>
      <c r="D16" s="230" t="s">
        <v>33</v>
      </c>
      <c r="E16" s="230" t="s">
        <v>32</v>
      </c>
      <c r="F16" s="231">
        <v>0.5</v>
      </c>
      <c r="G16" s="232" t="s">
        <v>108</v>
      </c>
      <c r="H16" s="233">
        <v>0.33239999999999997</v>
      </c>
      <c r="I16" s="234">
        <v>199.36511865079058</v>
      </c>
      <c r="J16" s="235">
        <v>42958</v>
      </c>
      <c r="K16" s="235">
        <v>44228</v>
      </c>
      <c r="L16" s="235">
        <v>44784</v>
      </c>
      <c r="M16" s="236">
        <v>1936.4738</v>
      </c>
      <c r="N16" s="236">
        <f t="shared" si="2"/>
        <v>968.23689999999999</v>
      </c>
      <c r="O16" s="236">
        <v>1064.1994999999999</v>
      </c>
      <c r="P16" s="237" t="s">
        <v>204</v>
      </c>
      <c r="Q16" s="238" t="s">
        <v>214</v>
      </c>
      <c r="R16" s="239">
        <v>1</v>
      </c>
      <c r="S16" s="240">
        <v>1</v>
      </c>
      <c r="T16" s="238" t="s">
        <v>215</v>
      </c>
      <c r="U16" s="196"/>
      <c r="V16" s="236">
        <v>1508.1737226429982</v>
      </c>
      <c r="W16" s="571">
        <v>2017</v>
      </c>
      <c r="X16" s="450"/>
      <c r="Y16" s="451" t="s">
        <v>329</v>
      </c>
      <c r="Z16" s="452">
        <f>Z15</f>
        <v>207.68434438422094</v>
      </c>
      <c r="AA16" s="452">
        <f t="shared" ref="AA16:AG16" si="4">Z16+AA15</f>
        <v>600.90230817854672</v>
      </c>
      <c r="AB16" s="452">
        <f t="shared" si="4"/>
        <v>675.47947093812331</v>
      </c>
      <c r="AC16" s="452">
        <f t="shared" si="4"/>
        <v>782.03895736812331</v>
      </c>
      <c r="AD16" s="452">
        <f t="shared" si="4"/>
        <v>875.1493165736631</v>
      </c>
      <c r="AE16" s="452">
        <f t="shared" si="4"/>
        <v>875.1493165736631</v>
      </c>
      <c r="AF16" s="452">
        <f t="shared" si="4"/>
        <v>1234.3801976491882</v>
      </c>
      <c r="AG16" s="452">
        <f t="shared" si="4"/>
        <v>1812.825068998593</v>
      </c>
    </row>
    <row r="17" spans="1:33" ht="35" customHeight="1" thickBot="1" x14ac:dyDescent="0.4">
      <c r="A17" s="460" t="s">
        <v>87</v>
      </c>
      <c r="B17" s="514"/>
      <c r="C17" s="241" t="s">
        <v>216</v>
      </c>
      <c r="D17" s="241" t="s">
        <v>86</v>
      </c>
      <c r="E17" s="241" t="s">
        <v>85</v>
      </c>
      <c r="F17" s="242">
        <v>1</v>
      </c>
      <c r="G17" s="243" t="s">
        <v>217</v>
      </c>
      <c r="H17" s="244">
        <v>0.32200000000000001</v>
      </c>
      <c r="I17" s="245">
        <v>23.670081096464052</v>
      </c>
      <c r="J17" s="246">
        <v>42958</v>
      </c>
      <c r="K17" s="246">
        <v>42736</v>
      </c>
      <c r="L17" s="246">
        <v>44419</v>
      </c>
      <c r="M17" s="247">
        <v>134.6464</v>
      </c>
      <c r="N17" s="247">
        <f t="shared" si="2"/>
        <v>134.6464</v>
      </c>
      <c r="O17" s="247">
        <v>117.526</v>
      </c>
      <c r="P17" s="248" t="s">
        <v>204</v>
      </c>
      <c r="Q17" s="249" t="s">
        <v>210</v>
      </c>
      <c r="R17" s="250">
        <v>1</v>
      </c>
      <c r="S17" s="251">
        <v>1</v>
      </c>
      <c r="T17" s="252" t="s">
        <v>218</v>
      </c>
      <c r="U17" s="196"/>
      <c r="V17" s="247">
        <v>209.73189756399307</v>
      </c>
      <c r="W17" s="572">
        <v>2017</v>
      </c>
      <c r="X17" s="450"/>
      <c r="Y17" s="448"/>
      <c r="Z17" s="448"/>
      <c r="AA17" s="448"/>
      <c r="AB17" s="448"/>
      <c r="AC17" s="448"/>
      <c r="AD17" s="448"/>
      <c r="AE17" s="448"/>
      <c r="AF17" s="448"/>
      <c r="AG17" s="448"/>
    </row>
    <row r="18" spans="1:33" ht="35" customHeight="1" thickBot="1" x14ac:dyDescent="0.4">
      <c r="A18" s="460" t="s">
        <v>61</v>
      </c>
      <c r="B18" s="514"/>
      <c r="C18" s="241" t="s">
        <v>219</v>
      </c>
      <c r="D18" s="241" t="s">
        <v>60</v>
      </c>
      <c r="E18" s="241" t="s">
        <v>59</v>
      </c>
      <c r="F18" s="242">
        <v>1</v>
      </c>
      <c r="G18" s="253" t="s">
        <v>217</v>
      </c>
      <c r="H18" s="244">
        <v>0.4451</v>
      </c>
      <c r="I18" s="245">
        <v>70.794383704919042</v>
      </c>
      <c r="J18" s="246">
        <v>42958</v>
      </c>
      <c r="K18" s="246">
        <v>43252</v>
      </c>
      <c r="L18" s="246">
        <v>44419</v>
      </c>
      <c r="M18" s="247">
        <v>397.73349999999999</v>
      </c>
      <c r="N18" s="247">
        <f t="shared" si="2"/>
        <v>397.73349999999999</v>
      </c>
      <c r="O18" s="247">
        <v>255.90600000000001</v>
      </c>
      <c r="P18" s="248" t="s">
        <v>204</v>
      </c>
      <c r="Q18" s="249" t="s">
        <v>210</v>
      </c>
      <c r="R18" s="250">
        <v>1</v>
      </c>
      <c r="S18" s="251">
        <v>1</v>
      </c>
      <c r="T18" s="252" t="s">
        <v>220</v>
      </c>
      <c r="U18" s="196"/>
      <c r="V18" s="247">
        <v>619.52938719318479</v>
      </c>
      <c r="W18" s="572">
        <v>2017</v>
      </c>
      <c r="X18" s="450"/>
      <c r="Y18" s="448"/>
      <c r="Z18" s="447"/>
      <c r="AA18" s="448"/>
      <c r="AB18" s="448"/>
      <c r="AC18" s="448"/>
      <c r="AD18" s="448"/>
      <c r="AE18" s="448"/>
      <c r="AF18" s="448"/>
      <c r="AG18" s="448"/>
    </row>
    <row r="19" spans="1:33" ht="35" customHeight="1" thickBot="1" x14ac:dyDescent="0.4">
      <c r="A19" s="460" t="s">
        <v>37</v>
      </c>
      <c r="B19" s="514"/>
      <c r="C19" s="241" t="s">
        <v>221</v>
      </c>
      <c r="D19" s="241" t="s">
        <v>36</v>
      </c>
      <c r="E19" s="241" t="s">
        <v>35</v>
      </c>
      <c r="F19" s="242">
        <v>1</v>
      </c>
      <c r="G19" s="253" t="s">
        <v>217</v>
      </c>
      <c r="H19" s="244">
        <v>0.52690000000000003</v>
      </c>
      <c r="I19" s="245">
        <v>83.236966918462116</v>
      </c>
      <c r="J19" s="246">
        <v>42958</v>
      </c>
      <c r="K19" s="254">
        <v>43435</v>
      </c>
      <c r="L19" s="246">
        <v>44419</v>
      </c>
      <c r="M19" s="247">
        <v>601.87950000000001</v>
      </c>
      <c r="N19" s="247">
        <f t="shared" si="2"/>
        <v>601.87950000000001</v>
      </c>
      <c r="O19" s="247">
        <v>363.42</v>
      </c>
      <c r="P19" s="248" t="s">
        <v>204</v>
      </c>
      <c r="Q19" s="252" t="s">
        <v>222</v>
      </c>
      <c r="R19" s="250">
        <v>1</v>
      </c>
      <c r="S19" s="255">
        <v>1</v>
      </c>
      <c r="T19" s="252" t="s">
        <v>223</v>
      </c>
      <c r="U19" s="196"/>
      <c r="V19" s="247">
        <v>937.51730190979754</v>
      </c>
      <c r="W19" s="572">
        <v>2017</v>
      </c>
      <c r="X19" s="450"/>
      <c r="Y19" s="448"/>
      <c r="Z19" s="448"/>
      <c r="AA19" s="448"/>
      <c r="AB19" s="448"/>
      <c r="AC19" s="448"/>
      <c r="AD19" s="448"/>
      <c r="AE19" s="448"/>
      <c r="AF19" s="448"/>
      <c r="AG19" s="448"/>
    </row>
    <row r="20" spans="1:33" ht="35" customHeight="1" thickBot="1" x14ac:dyDescent="0.4">
      <c r="A20" s="460" t="s">
        <v>224</v>
      </c>
      <c r="B20" s="515"/>
      <c r="C20" s="256" t="s">
        <v>225</v>
      </c>
      <c r="D20" s="256" t="s">
        <v>78</v>
      </c>
      <c r="E20" s="256" t="s">
        <v>75</v>
      </c>
      <c r="F20" s="257">
        <v>1</v>
      </c>
      <c r="G20" s="258" t="s">
        <v>109</v>
      </c>
      <c r="H20" s="259">
        <v>0.57550000000000001</v>
      </c>
      <c r="I20" s="260">
        <v>16.151413423689903</v>
      </c>
      <c r="J20" s="261">
        <v>42958</v>
      </c>
      <c r="K20" s="262">
        <v>43678</v>
      </c>
      <c r="L20" s="261">
        <v>44238</v>
      </c>
      <c r="M20" s="263">
        <v>125.79430000000001</v>
      </c>
      <c r="N20" s="263">
        <f t="shared" si="2"/>
        <v>125.79430000000001</v>
      </c>
      <c r="O20" s="263">
        <v>62.978000000000002</v>
      </c>
      <c r="P20" s="264" t="s">
        <v>204</v>
      </c>
      <c r="Q20" s="265" t="s">
        <v>226</v>
      </c>
      <c r="R20" s="266">
        <v>1</v>
      </c>
      <c r="S20" s="267">
        <v>1</v>
      </c>
      <c r="T20" s="265" t="s">
        <v>222</v>
      </c>
      <c r="U20" s="196"/>
      <c r="V20" s="263">
        <v>195.94342842982965</v>
      </c>
      <c r="W20" s="573">
        <v>2017</v>
      </c>
      <c r="X20" s="450"/>
      <c r="Y20" s="448"/>
      <c r="Z20" s="447"/>
      <c r="AA20" s="448"/>
      <c r="AB20" s="448"/>
      <c r="AC20" s="448"/>
      <c r="AD20" s="448"/>
      <c r="AE20" s="448"/>
      <c r="AF20" s="448"/>
      <c r="AG20" s="448"/>
    </row>
    <row r="21" spans="1:33" ht="35" customHeight="1" thickBot="1" x14ac:dyDescent="0.4">
      <c r="A21" s="460" t="s">
        <v>227</v>
      </c>
      <c r="B21" s="520" t="s">
        <v>228</v>
      </c>
      <c r="C21" s="268" t="s">
        <v>229</v>
      </c>
      <c r="D21" s="268" t="s">
        <v>96</v>
      </c>
      <c r="E21" s="268" t="s">
        <v>95</v>
      </c>
      <c r="F21" s="269">
        <v>1</v>
      </c>
      <c r="G21" s="268" t="s">
        <v>109</v>
      </c>
      <c r="H21" s="270">
        <v>0.73899999999999999</v>
      </c>
      <c r="I21" s="271">
        <v>18.289274528771983</v>
      </c>
      <c r="J21" s="272">
        <v>43364</v>
      </c>
      <c r="K21" s="272">
        <v>43831</v>
      </c>
      <c r="L21" s="272">
        <v>44825</v>
      </c>
      <c r="M21" s="273">
        <v>237.947</v>
      </c>
      <c r="N21" s="273">
        <f t="shared" si="2"/>
        <v>237.947</v>
      </c>
      <c r="O21" s="273">
        <v>126.087</v>
      </c>
      <c r="P21" s="274" t="s">
        <v>204</v>
      </c>
      <c r="Q21" s="275" t="s">
        <v>222</v>
      </c>
      <c r="R21" s="276">
        <v>1</v>
      </c>
      <c r="S21" s="277">
        <v>1</v>
      </c>
      <c r="T21" s="275" t="s">
        <v>230</v>
      </c>
      <c r="U21" s="196"/>
      <c r="V21" s="273">
        <v>356.12870628323054</v>
      </c>
      <c r="W21" s="574">
        <v>2018</v>
      </c>
      <c r="X21" s="450"/>
      <c r="Y21" s="448"/>
      <c r="Z21" s="448"/>
      <c r="AA21" s="448"/>
      <c r="AB21" s="448"/>
      <c r="AC21" s="448"/>
      <c r="AD21" s="448"/>
      <c r="AE21" s="448"/>
      <c r="AF21" s="448"/>
      <c r="AG21" s="448"/>
    </row>
    <row r="22" spans="1:33" ht="35" customHeight="1" thickBot="1" x14ac:dyDescent="0.4">
      <c r="A22" s="460" t="s">
        <v>71</v>
      </c>
      <c r="B22" s="520"/>
      <c r="C22" s="218" t="s">
        <v>231</v>
      </c>
      <c r="D22" s="218" t="s">
        <v>70</v>
      </c>
      <c r="E22" s="218" t="s">
        <v>69</v>
      </c>
      <c r="F22" s="219">
        <v>1</v>
      </c>
      <c r="G22" s="218" t="s">
        <v>116</v>
      </c>
      <c r="H22" s="221">
        <v>0.66700000000000004</v>
      </c>
      <c r="I22" s="222">
        <v>56.287888230804604</v>
      </c>
      <c r="J22" s="223">
        <v>43364</v>
      </c>
      <c r="K22" s="223">
        <v>44440</v>
      </c>
      <c r="L22" s="223">
        <v>45190</v>
      </c>
      <c r="M22" s="224">
        <v>641.38199999999995</v>
      </c>
      <c r="N22" s="224">
        <f t="shared" si="2"/>
        <v>641.38199999999995</v>
      </c>
      <c r="O22" s="224">
        <v>455.96499999999997</v>
      </c>
      <c r="P22" s="225" t="s">
        <v>204</v>
      </c>
      <c r="Q22" s="229" t="s">
        <v>223</v>
      </c>
      <c r="R22" s="227">
        <v>1</v>
      </c>
      <c r="S22" s="278">
        <v>1</v>
      </c>
      <c r="T22" s="229" t="s">
        <v>206</v>
      </c>
      <c r="U22" s="196"/>
      <c r="V22" s="224">
        <v>959.93873380774278</v>
      </c>
      <c r="W22" s="570">
        <v>2018</v>
      </c>
      <c r="X22" s="450"/>
      <c r="Y22" s="448"/>
      <c r="Z22" s="448"/>
      <c r="AA22" s="448"/>
      <c r="AB22" s="448"/>
      <c r="AC22" s="448"/>
      <c r="AD22" s="448"/>
      <c r="AE22" s="448"/>
      <c r="AF22" s="448"/>
      <c r="AG22" s="448"/>
    </row>
    <row r="23" spans="1:33" ht="35" customHeight="1" thickBot="1" x14ac:dyDescent="0.4">
      <c r="A23" s="460" t="s">
        <v>46</v>
      </c>
      <c r="B23" s="513" t="s">
        <v>232</v>
      </c>
      <c r="C23" s="230" t="s">
        <v>233</v>
      </c>
      <c r="D23" s="230" t="s">
        <v>45</v>
      </c>
      <c r="E23" s="230" t="s">
        <v>44</v>
      </c>
      <c r="F23" s="231">
        <v>1</v>
      </c>
      <c r="G23" s="279" t="s">
        <v>113</v>
      </c>
      <c r="H23" s="233">
        <v>0.66849999999999998</v>
      </c>
      <c r="I23" s="234">
        <v>52.959984550000016</v>
      </c>
      <c r="J23" s="235">
        <v>43891</v>
      </c>
      <c r="K23" s="235">
        <v>43831</v>
      </c>
      <c r="L23" s="235">
        <v>45736</v>
      </c>
      <c r="M23" s="236">
        <v>681.55</v>
      </c>
      <c r="N23" s="236">
        <f t="shared" si="2"/>
        <v>681.55</v>
      </c>
      <c r="O23" s="236">
        <v>735.70299999999997</v>
      </c>
      <c r="P23" s="237" t="s">
        <v>204</v>
      </c>
      <c r="Q23" s="238" t="s">
        <v>206</v>
      </c>
      <c r="R23" s="239">
        <v>1</v>
      </c>
      <c r="S23" s="280">
        <v>1</v>
      </c>
      <c r="T23" s="238" t="s">
        <v>179</v>
      </c>
      <c r="U23" s="196"/>
      <c r="V23" s="236">
        <v>967.74475890201302</v>
      </c>
      <c r="W23" s="571">
        <v>2019</v>
      </c>
      <c r="X23" s="450"/>
      <c r="Y23" s="448"/>
      <c r="Z23" s="448"/>
      <c r="AA23" s="448"/>
      <c r="AB23" s="448"/>
      <c r="AC23" s="448"/>
      <c r="AD23" s="448"/>
      <c r="AE23" s="448"/>
      <c r="AF23" s="448"/>
      <c r="AG23" s="448"/>
    </row>
    <row r="24" spans="1:33" ht="35" customHeight="1" thickBot="1" x14ac:dyDescent="0.4">
      <c r="A24" s="460" t="s">
        <v>89</v>
      </c>
      <c r="B24" s="514"/>
      <c r="C24" s="241" t="s">
        <v>234</v>
      </c>
      <c r="D24" s="241" t="s">
        <v>88</v>
      </c>
      <c r="E24" s="241" t="s">
        <v>85</v>
      </c>
      <c r="F24" s="242">
        <v>1</v>
      </c>
      <c r="G24" s="243" t="s">
        <v>117</v>
      </c>
      <c r="H24" s="244">
        <v>0.68120000000000003</v>
      </c>
      <c r="I24" s="245">
        <v>7.45860083</v>
      </c>
      <c r="J24" s="246">
        <v>43891</v>
      </c>
      <c r="K24" s="246">
        <v>43831</v>
      </c>
      <c r="L24" s="246">
        <v>45170</v>
      </c>
      <c r="M24" s="247">
        <v>98.792000000000002</v>
      </c>
      <c r="N24" s="247">
        <f t="shared" si="2"/>
        <v>98.792000000000002</v>
      </c>
      <c r="O24" s="247">
        <v>87.067999999999998</v>
      </c>
      <c r="P24" s="248" t="s">
        <v>204</v>
      </c>
      <c r="Q24" s="252" t="s">
        <v>235</v>
      </c>
      <c r="R24" s="250">
        <v>1</v>
      </c>
      <c r="S24" s="251">
        <v>1</v>
      </c>
      <c r="T24" s="252" t="s">
        <v>208</v>
      </c>
      <c r="U24" s="196"/>
      <c r="V24" s="247">
        <v>140.26619750799247</v>
      </c>
      <c r="W24" s="572">
        <v>2019</v>
      </c>
      <c r="X24" s="450"/>
      <c r="Y24" s="448"/>
      <c r="Z24" s="448"/>
      <c r="AA24" s="448"/>
      <c r="AB24" s="448"/>
      <c r="AC24" s="448"/>
      <c r="AD24" s="448"/>
      <c r="AE24" s="448"/>
      <c r="AF24" s="448"/>
      <c r="AG24" s="448"/>
    </row>
    <row r="25" spans="1:33" ht="35" customHeight="1" thickBot="1" x14ac:dyDescent="0.4">
      <c r="A25" s="460" t="s">
        <v>51</v>
      </c>
      <c r="B25" s="515"/>
      <c r="C25" s="256" t="s">
        <v>236</v>
      </c>
      <c r="D25" s="256" t="s">
        <v>50</v>
      </c>
      <c r="E25" s="256" t="s">
        <v>49</v>
      </c>
      <c r="F25" s="257">
        <v>1</v>
      </c>
      <c r="G25" s="258" t="s">
        <v>114</v>
      </c>
      <c r="H25" s="259">
        <v>0.65400000000000003</v>
      </c>
      <c r="I25" s="260">
        <v>46.140901050000011</v>
      </c>
      <c r="J25" s="261">
        <v>43891</v>
      </c>
      <c r="K25" s="261">
        <v>43831</v>
      </c>
      <c r="L25" s="261">
        <v>45736</v>
      </c>
      <c r="M25" s="263">
        <v>553.56700000000001</v>
      </c>
      <c r="N25" s="263">
        <f t="shared" si="2"/>
        <v>553.56700000000001</v>
      </c>
      <c r="O25" s="263">
        <v>519.59500000000003</v>
      </c>
      <c r="P25" s="264" t="s">
        <v>204</v>
      </c>
      <c r="Q25" s="281" t="s">
        <v>237</v>
      </c>
      <c r="R25" s="266">
        <v>1</v>
      </c>
      <c r="S25" s="267">
        <v>1</v>
      </c>
      <c r="T25" s="281" t="s">
        <v>238</v>
      </c>
      <c r="U25" s="196"/>
      <c r="V25" s="263">
        <v>785.96180010432897</v>
      </c>
      <c r="W25" s="573">
        <v>2019</v>
      </c>
      <c r="X25" s="450"/>
      <c r="Y25" s="448"/>
      <c r="Z25" s="448"/>
      <c r="AA25" s="448"/>
      <c r="AB25" s="448"/>
      <c r="AC25" s="448"/>
      <c r="AD25" s="448"/>
      <c r="AE25" s="448"/>
      <c r="AF25" s="448"/>
      <c r="AG25" s="448"/>
    </row>
    <row r="26" spans="1:33" ht="35" customHeight="1" thickBot="1" x14ac:dyDescent="0.4">
      <c r="A26" s="460" t="s">
        <v>40</v>
      </c>
      <c r="B26" s="197" t="s">
        <v>239</v>
      </c>
      <c r="C26" s="282" t="s">
        <v>240</v>
      </c>
      <c r="D26" s="282" t="s">
        <v>39</v>
      </c>
      <c r="E26" s="282" t="s">
        <v>38</v>
      </c>
      <c r="F26" s="283">
        <v>1</v>
      </c>
      <c r="G26" s="282" t="s">
        <v>109</v>
      </c>
      <c r="H26" s="284">
        <v>0.57899999999999996</v>
      </c>
      <c r="I26" s="285">
        <v>93.110359205539737</v>
      </c>
      <c r="J26" s="286">
        <v>44256</v>
      </c>
      <c r="K26" s="287">
        <v>46023</v>
      </c>
      <c r="L26" s="286">
        <v>46112</v>
      </c>
      <c r="M26" s="288">
        <v>1140.6279999999999</v>
      </c>
      <c r="N26" s="288">
        <f t="shared" si="2"/>
        <v>1140.6279999999999</v>
      </c>
      <c r="O26" s="288">
        <v>922.06537929785998</v>
      </c>
      <c r="P26" s="289" t="s">
        <v>204</v>
      </c>
      <c r="Q26" s="290" t="s">
        <v>238</v>
      </c>
      <c r="R26" s="291">
        <v>1</v>
      </c>
      <c r="S26" s="292">
        <v>1</v>
      </c>
      <c r="T26" s="290" t="s">
        <v>249</v>
      </c>
      <c r="V26" s="288">
        <v>1589.7884585994937</v>
      </c>
      <c r="W26" s="575">
        <v>2020</v>
      </c>
      <c r="X26" s="450"/>
      <c r="Y26" s="448"/>
      <c r="Z26" s="448"/>
      <c r="AA26" s="448"/>
      <c r="AB26" s="448"/>
      <c r="AC26" s="448"/>
      <c r="AD26" s="448"/>
      <c r="AE26" s="448"/>
      <c r="AF26" s="448"/>
      <c r="AG26" s="448"/>
    </row>
    <row r="27" spans="1:33" ht="35" customHeight="1" thickBot="1" x14ac:dyDescent="0.4">
      <c r="A27" s="460" t="s">
        <v>21</v>
      </c>
      <c r="B27" s="513" t="s">
        <v>242</v>
      </c>
      <c r="C27" s="293" t="s">
        <v>243</v>
      </c>
      <c r="D27" s="230" t="s">
        <v>20</v>
      </c>
      <c r="E27" s="230" t="s">
        <v>139</v>
      </c>
      <c r="F27" s="231">
        <v>1</v>
      </c>
      <c r="G27" s="279" t="s">
        <v>120</v>
      </c>
      <c r="H27" s="233">
        <v>0.46750000000000003</v>
      </c>
      <c r="I27" s="234">
        <v>343.10103999980538</v>
      </c>
      <c r="J27" s="235">
        <v>44805</v>
      </c>
      <c r="K27" s="235">
        <v>46023</v>
      </c>
      <c r="L27" s="235">
        <v>46660</v>
      </c>
      <c r="M27" s="236">
        <v>3653.6077241999965</v>
      </c>
      <c r="N27" s="236">
        <f t="shared" si="2"/>
        <v>3653.6077241999965</v>
      </c>
      <c r="O27" s="236">
        <v>3781.664474737825</v>
      </c>
      <c r="P27" s="237" t="s">
        <v>204</v>
      </c>
      <c r="Q27" s="238" t="s">
        <v>244</v>
      </c>
      <c r="R27" s="239">
        <v>0.995</v>
      </c>
      <c r="S27" s="294">
        <v>0.98</v>
      </c>
      <c r="T27" s="239" t="s">
        <v>331</v>
      </c>
      <c r="U27" s="196"/>
      <c r="V27" s="236">
        <v>4351.9988815383786</v>
      </c>
      <c r="W27" s="571">
        <v>2022</v>
      </c>
      <c r="X27" s="450"/>
      <c r="Y27" s="559" t="e">
        <f>V27-#REF!</f>
        <v>#REF!</v>
      </c>
      <c r="Z27" s="448"/>
      <c r="AA27" s="448"/>
      <c r="AB27" s="448"/>
      <c r="AC27" s="448"/>
      <c r="AD27" s="448"/>
      <c r="AE27" s="448"/>
      <c r="AF27" s="448"/>
      <c r="AG27" s="448"/>
    </row>
    <row r="28" spans="1:33" ht="35" customHeight="1" thickBot="1" x14ac:dyDescent="0.4">
      <c r="A28" s="460" t="s">
        <v>82</v>
      </c>
      <c r="B28" s="515"/>
      <c r="C28" s="295" t="s">
        <v>245</v>
      </c>
      <c r="D28" s="256" t="s">
        <v>81</v>
      </c>
      <c r="E28" s="256" t="s">
        <v>80</v>
      </c>
      <c r="F28" s="257">
        <v>1</v>
      </c>
      <c r="G28" s="258" t="s">
        <v>109</v>
      </c>
      <c r="H28" s="259">
        <v>0.59209999999999996</v>
      </c>
      <c r="I28" s="260">
        <v>16.129841075719565</v>
      </c>
      <c r="J28" s="261">
        <v>44805</v>
      </c>
      <c r="K28" s="261">
        <v>46111</v>
      </c>
      <c r="L28" s="261">
        <v>46111</v>
      </c>
      <c r="M28" s="263">
        <v>232.29230019999977</v>
      </c>
      <c r="N28" s="263">
        <f t="shared" si="2"/>
        <v>232.29230019999977</v>
      </c>
      <c r="O28" s="263">
        <v>175.73289417347999</v>
      </c>
      <c r="P28" s="248" t="s">
        <v>204</v>
      </c>
      <c r="Q28" s="281" t="s">
        <v>244</v>
      </c>
      <c r="R28" s="266">
        <v>1</v>
      </c>
      <c r="S28" s="296">
        <v>1</v>
      </c>
      <c r="T28" s="266" t="s">
        <v>331</v>
      </c>
      <c r="U28" s="196"/>
      <c r="V28" s="263">
        <v>276.69523029644171</v>
      </c>
      <c r="W28" s="573">
        <v>2022</v>
      </c>
      <c r="X28" s="450"/>
      <c r="Y28" s="559" t="e">
        <f>V28-#REF!</f>
        <v>#REF!</v>
      </c>
      <c r="Z28" s="448"/>
      <c r="AA28" s="448"/>
      <c r="AB28" s="448"/>
      <c r="AC28" s="448"/>
      <c r="AD28" s="448"/>
      <c r="AE28" s="448"/>
      <c r="AF28" s="448"/>
      <c r="AG28" s="448"/>
    </row>
    <row r="29" spans="1:33" ht="35" customHeight="1" thickBot="1" x14ac:dyDescent="0.4">
      <c r="A29" s="460" t="s">
        <v>124</v>
      </c>
      <c r="B29" s="520" t="s">
        <v>246</v>
      </c>
      <c r="C29" s="297" t="s">
        <v>247</v>
      </c>
      <c r="D29" s="268" t="s">
        <v>123</v>
      </c>
      <c r="E29" s="268" t="s">
        <v>139</v>
      </c>
      <c r="F29" s="269">
        <v>1</v>
      </c>
      <c r="G29" s="268" t="s">
        <v>125</v>
      </c>
      <c r="H29" s="270">
        <v>0.44845841403381792</v>
      </c>
      <c r="I29" s="271">
        <v>321.80777299039528</v>
      </c>
      <c r="J29" s="272">
        <v>45170</v>
      </c>
      <c r="K29" s="272" t="s">
        <v>248</v>
      </c>
      <c r="L29" s="272">
        <v>47206</v>
      </c>
      <c r="M29" s="273">
        <v>3157</v>
      </c>
      <c r="N29" s="273">
        <f t="shared" si="2"/>
        <v>3157</v>
      </c>
      <c r="O29" s="273">
        <v>1334.7619999999999</v>
      </c>
      <c r="P29" s="275" t="s">
        <v>331</v>
      </c>
      <c r="Q29" s="275" t="s">
        <v>251</v>
      </c>
      <c r="R29" s="276">
        <v>0.92</v>
      </c>
      <c r="S29" s="298">
        <v>0.37</v>
      </c>
      <c r="T29" s="276" t="s">
        <v>241</v>
      </c>
      <c r="U29" s="196"/>
      <c r="V29" s="273">
        <v>3609.9102037444645</v>
      </c>
      <c r="W29" s="574">
        <v>2023</v>
      </c>
      <c r="X29" s="450"/>
      <c r="Y29" s="559" t="e">
        <f>V29-#REF!</f>
        <v>#REF!</v>
      </c>
      <c r="Z29" s="448"/>
      <c r="AA29" s="448"/>
      <c r="AB29" s="448"/>
      <c r="AC29" s="448"/>
      <c r="AD29" s="448"/>
      <c r="AE29" s="448"/>
      <c r="AF29" s="448"/>
      <c r="AG29" s="448"/>
    </row>
    <row r="30" spans="1:33" ht="35" customHeight="1" thickBot="1" x14ac:dyDescent="0.4">
      <c r="A30" s="460" t="s">
        <v>121</v>
      </c>
      <c r="B30" s="520"/>
      <c r="C30" s="299" t="s">
        <v>250</v>
      </c>
      <c r="D30" s="207" t="s">
        <v>126</v>
      </c>
      <c r="E30" s="207" t="s">
        <v>139</v>
      </c>
      <c r="F30" s="208">
        <v>1</v>
      </c>
      <c r="G30" s="207" t="s">
        <v>119</v>
      </c>
      <c r="H30" s="210">
        <v>0.41807009111977111</v>
      </c>
      <c r="I30" s="211">
        <v>248.17739441979884</v>
      </c>
      <c r="J30" s="212">
        <v>45170</v>
      </c>
      <c r="K30" s="212" t="s">
        <v>248</v>
      </c>
      <c r="L30" s="212">
        <v>47206</v>
      </c>
      <c r="M30" s="213">
        <v>2342.297462</v>
      </c>
      <c r="N30" s="213">
        <f t="shared" si="2"/>
        <v>2342.297462</v>
      </c>
      <c r="O30" s="213">
        <v>481.173</v>
      </c>
      <c r="P30" s="215" t="s">
        <v>332</v>
      </c>
      <c r="Q30" s="215" t="s">
        <v>332</v>
      </c>
      <c r="R30" s="216">
        <v>0.83</v>
      </c>
      <c r="S30" s="300">
        <v>0.28000000000000003</v>
      </c>
      <c r="T30" s="216" t="s">
        <v>241</v>
      </c>
      <c r="U30" s="196"/>
      <c r="V30" s="213">
        <v>2678.4779602152548</v>
      </c>
      <c r="W30" s="569">
        <v>2023</v>
      </c>
      <c r="X30" s="450"/>
      <c r="Y30" s="559" t="e">
        <f>V30-#REF!</f>
        <v>#REF!</v>
      </c>
      <c r="Z30" s="448"/>
      <c r="AA30" s="448"/>
      <c r="AB30" s="448"/>
      <c r="AC30" s="448"/>
      <c r="AD30" s="448"/>
      <c r="AE30" s="448"/>
      <c r="AF30" s="448"/>
      <c r="AG30" s="448"/>
    </row>
    <row r="31" spans="1:33" ht="35" customHeight="1" thickBot="1" x14ac:dyDescent="0.4">
      <c r="A31" s="460" t="s">
        <v>180</v>
      </c>
      <c r="B31" s="520"/>
      <c r="C31" s="301" t="s">
        <v>252</v>
      </c>
      <c r="D31" s="302" t="s">
        <v>129</v>
      </c>
      <c r="E31" s="302" t="s">
        <v>85</v>
      </c>
      <c r="F31" s="303">
        <v>1</v>
      </c>
      <c r="G31" s="302" t="s">
        <v>109</v>
      </c>
      <c r="H31" s="304">
        <v>0.50359281172903692</v>
      </c>
      <c r="I31" s="305">
        <v>8.4597039392108826</v>
      </c>
      <c r="J31" s="306">
        <v>45170</v>
      </c>
      <c r="K31" s="212" t="s">
        <v>248</v>
      </c>
      <c r="L31" s="306">
        <v>46294</v>
      </c>
      <c r="M31" s="307">
        <v>94.176896999999997</v>
      </c>
      <c r="N31" s="444">
        <f t="shared" si="2"/>
        <v>94.176896999999997</v>
      </c>
      <c r="O31" s="307">
        <v>87.06</v>
      </c>
      <c r="P31" s="289" t="s">
        <v>204</v>
      </c>
      <c r="Q31" s="308" t="s">
        <v>244</v>
      </c>
      <c r="R31" s="309">
        <v>1</v>
      </c>
      <c r="S31" s="310">
        <v>1</v>
      </c>
      <c r="T31" s="309" t="s">
        <v>253</v>
      </c>
      <c r="U31" s="196"/>
      <c r="V31" s="307">
        <v>107.69372680811203</v>
      </c>
      <c r="W31" s="576">
        <v>2023</v>
      </c>
      <c r="X31" s="450"/>
      <c r="Y31" s="448"/>
      <c r="Z31" s="448"/>
      <c r="AA31" s="448"/>
      <c r="AB31" s="448"/>
      <c r="AC31" s="448"/>
      <c r="AD31" s="448"/>
      <c r="AE31" s="448"/>
      <c r="AF31" s="448"/>
      <c r="AG31" s="448"/>
    </row>
    <row r="32" spans="1:33" ht="25.75" customHeight="1" thickBot="1" x14ac:dyDescent="0.4">
      <c r="B32" s="521" t="str">
        <f>"Total ("&amp;COUNTA(C13:C31)&amp;")"</f>
        <v>Total (19)</v>
      </c>
      <c r="C32" s="521"/>
      <c r="D32" s="521"/>
      <c r="E32" s="521"/>
      <c r="F32" s="521"/>
      <c r="G32" s="521"/>
      <c r="H32" s="311">
        <f>SUMPRODUCT($N$13:$N$31,$H$13:$H$31)/$N$32</f>
        <v>0.47157650090503406</v>
      </c>
      <c r="I32" s="312">
        <f>SUM(I13:I31)</f>
        <v>1812.825068998593</v>
      </c>
      <c r="J32" s="313" t="s">
        <v>241</v>
      </c>
      <c r="K32" s="313" t="s">
        <v>241</v>
      </c>
      <c r="L32" s="313" t="s">
        <v>241</v>
      </c>
      <c r="M32" s="313">
        <f>SUM(M13:M31)</f>
        <v>17178.299883399995</v>
      </c>
      <c r="N32" s="313">
        <f>SUM(N13:N31)</f>
        <v>15784.706483399998</v>
      </c>
      <c r="O32" s="313">
        <f>SUM(O13:O31)</f>
        <v>11486.362748209165</v>
      </c>
      <c r="P32" s="313" t="s">
        <v>241</v>
      </c>
      <c r="Q32" s="313" t="s">
        <v>241</v>
      </c>
      <c r="R32" s="313" t="s">
        <v>241</v>
      </c>
      <c r="S32" s="313" t="s">
        <v>241</v>
      </c>
      <c r="T32" s="313" t="s">
        <v>241</v>
      </c>
      <c r="U32" s="196"/>
      <c r="V32" s="313">
        <f>SUM(V13:V31)</f>
        <v>20430.761061366102</v>
      </c>
      <c r="W32" s="577"/>
    </row>
    <row r="33" spans="2:23" ht="15.5" hidden="1" customHeight="1" thickBot="1" x14ac:dyDescent="0.4">
      <c r="B33" s="314"/>
      <c r="C33" s="315"/>
      <c r="D33" s="315"/>
      <c r="E33" s="315"/>
      <c r="F33" s="315"/>
      <c r="G33" s="315"/>
      <c r="H33" s="315"/>
      <c r="I33" s="316"/>
      <c r="J33" s="317"/>
      <c r="K33" s="317"/>
      <c r="L33" s="317"/>
      <c r="N33" s="317"/>
      <c r="P33" s="315"/>
      <c r="Q33" s="315"/>
      <c r="R33" s="315"/>
      <c r="S33" s="315"/>
      <c r="T33" s="315"/>
      <c r="U33" s="196"/>
    </row>
    <row r="34" spans="2:23" ht="15.5" hidden="1" customHeight="1" x14ac:dyDescent="0.35">
      <c r="B34" s="318" t="s">
        <v>254</v>
      </c>
      <c r="H34" s="319" t="s">
        <v>255</v>
      </c>
      <c r="I34" s="319">
        <f>SUM(I23:I31)</f>
        <v>1137.3455980604697</v>
      </c>
      <c r="J34" s="316"/>
      <c r="K34" s="316"/>
      <c r="L34" s="316"/>
      <c r="N34" s="319">
        <f>SUM(N23:N31)</f>
        <v>11953.911383399996</v>
      </c>
      <c r="O34" s="320">
        <v>0</v>
      </c>
      <c r="U34" s="196"/>
      <c r="V34" s="320">
        <v>0</v>
      </c>
      <c r="W34" s="578"/>
    </row>
    <row r="35" spans="2:23" ht="15.5" hidden="1" customHeight="1" x14ac:dyDescent="0.35">
      <c r="B35" s="318" t="s">
        <v>256</v>
      </c>
      <c r="C35" s="318"/>
      <c r="D35" s="318"/>
      <c r="E35" s="318"/>
      <c r="F35" s="318"/>
      <c r="G35" s="318"/>
      <c r="H35" s="318"/>
      <c r="I35" s="321"/>
      <c r="N35" s="318"/>
      <c r="U35" s="196"/>
    </row>
    <row r="36" spans="2:23" ht="18.5" hidden="1" customHeight="1" x14ac:dyDescent="0.35">
      <c r="B36" s="318" t="s">
        <v>257</v>
      </c>
      <c r="I36" s="318"/>
      <c r="J36" s="318"/>
      <c r="K36" s="318"/>
      <c r="L36" s="318"/>
      <c r="O36" s="322">
        <f>N32-O32</f>
        <v>4298.3437351908324</v>
      </c>
      <c r="P36" s="318"/>
      <c r="Q36" s="318"/>
      <c r="R36" s="318"/>
      <c r="S36" s="318"/>
      <c r="T36" s="318"/>
      <c r="U36" s="323"/>
      <c r="V36" s="322"/>
      <c r="W36" s="579"/>
    </row>
    <row r="37" spans="2:23" ht="18.5" hidden="1" customHeight="1" x14ac:dyDescent="0.35">
      <c r="B37" s="318" t="s">
        <v>258</v>
      </c>
      <c r="H37" s="324"/>
    </row>
    <row r="38" spans="2:23" ht="15.5" hidden="1" customHeight="1" x14ac:dyDescent="0.35">
      <c r="C38" s="318"/>
      <c r="D38" s="318"/>
      <c r="E38" s="318"/>
      <c r="F38" s="318"/>
      <c r="G38" s="318"/>
      <c r="H38" s="318"/>
      <c r="I38" s="318"/>
      <c r="N38" s="318"/>
    </row>
    <row r="39" spans="2:23" ht="15.5" hidden="1" customHeight="1" x14ac:dyDescent="0.35">
      <c r="B39" s="318"/>
      <c r="C39" s="318"/>
      <c r="D39" s="318"/>
      <c r="E39" s="318"/>
      <c r="F39" s="318"/>
      <c r="G39" s="318"/>
      <c r="H39" s="318"/>
      <c r="I39" s="318"/>
      <c r="N39" s="318"/>
    </row>
    <row r="40" spans="2:23" ht="37.5" customHeight="1" x14ac:dyDescent="0.35">
      <c r="C40" s="318"/>
      <c r="D40" s="318"/>
      <c r="E40" s="318"/>
      <c r="F40" s="318"/>
      <c r="G40" s="318"/>
      <c r="H40" s="318"/>
      <c r="I40" s="560"/>
      <c r="N40" s="321">
        <v>0</v>
      </c>
      <c r="O40" s="561">
        <v>0</v>
      </c>
    </row>
    <row r="41" spans="2:23" ht="15.5" hidden="1" customHeight="1" x14ac:dyDescent="0.35">
      <c r="N41" s="325"/>
    </row>
  </sheetData>
  <mergeCells count="29">
    <mergeCell ref="B21:B22"/>
    <mergeCell ref="B23:B25"/>
    <mergeCell ref="B27:B28"/>
    <mergeCell ref="B29:B31"/>
    <mergeCell ref="B32:G32"/>
    <mergeCell ref="W11:W12"/>
    <mergeCell ref="S11:S12"/>
    <mergeCell ref="T11:T12"/>
    <mergeCell ref="V11:V12"/>
    <mergeCell ref="B13:B15"/>
    <mergeCell ref="B16:B20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B2:B5"/>
    <mergeCell ref="B11:B12"/>
    <mergeCell ref="C11:C12"/>
    <mergeCell ref="D11:D12"/>
    <mergeCell ref="E11:E12"/>
    <mergeCell ref="F11:F12"/>
  </mergeCells>
  <hyperlinks>
    <hyperlink ref="F3" location="Menu!A1" display="→Menu←" xr:uid="{F2D83B49-585E-4E3B-B4C9-92C813945B3F}"/>
  </hyperlinks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AE6D-4490-4F74-B4DB-2A7FEF707589}">
  <sheetPr>
    <tabColor theme="5" tint="0.59999389629810485"/>
  </sheetPr>
  <dimension ref="A1:AH41"/>
  <sheetViews>
    <sheetView showGridLines="0" zoomScale="60" zoomScaleNormal="60" workbookViewId="0">
      <pane ySplit="12" topLeftCell="A13" activePane="bottomLeft" state="frozen"/>
      <selection activeCell="T31" sqref="T31"/>
      <selection pane="bottomLeft" activeCell="T31" sqref="T31"/>
    </sheetView>
  </sheetViews>
  <sheetFormatPr defaultColWidth="0" defaultRowHeight="15.5" zeroHeight="1" outlineLevelCol="1" x14ac:dyDescent="0.35"/>
  <cols>
    <col min="1" max="1" width="2" style="194" customWidth="1"/>
    <col min="2" max="2" width="14.81640625" style="194" customWidth="1"/>
    <col min="3" max="3" width="17.1796875" style="194" customWidth="1"/>
    <col min="4" max="4" width="10.1796875" style="194" customWidth="1"/>
    <col min="5" max="5" width="12.453125" style="194" customWidth="1"/>
    <col min="6" max="6" width="10.54296875" style="194" hidden="1" customWidth="1"/>
    <col min="7" max="7" width="8" style="194" customWidth="1"/>
    <col min="8" max="8" width="10.54296875" style="194" hidden="1" customWidth="1"/>
    <col min="9" max="9" width="17.453125" style="194" customWidth="1"/>
    <col min="10" max="10" width="13.81640625" style="194" hidden="1" customWidth="1" outlineLevel="1"/>
    <col min="11" max="11" width="16.1796875" style="194" customWidth="1" collapsed="1"/>
    <col min="12" max="12" width="12.1796875" style="194" customWidth="1"/>
    <col min="13" max="13" width="17.453125" hidden="1" customWidth="1" outlineLevel="1"/>
    <col min="14" max="14" width="17.81640625" style="194" customWidth="1" collapsed="1"/>
    <col min="15" max="16" width="16.54296875" style="194" customWidth="1"/>
    <col min="17" max="17" width="16.453125" style="194" customWidth="1"/>
    <col min="18" max="18" width="16.1796875" style="194" customWidth="1"/>
    <col min="19" max="19" width="16.26953125" style="194" customWidth="1"/>
    <col min="20" max="20" width="14.26953125" style="194" customWidth="1"/>
    <col min="21" max="21" width="1" style="194" customWidth="1"/>
    <col min="22" max="23" width="9.453125" style="194" customWidth="1"/>
    <col min="24" max="25" width="9.453125" style="194" hidden="1" customWidth="1"/>
    <col min="26" max="34" width="0" style="194" hidden="1" customWidth="1"/>
    <col min="35" max="16384" width="9.453125" style="194" hidden="1"/>
  </cols>
  <sheetData>
    <row r="1" spans="1:23" s="1" customFormat="1" ht="3.65" customHeight="1" thickBot="1" x14ac:dyDescent="0.4"/>
    <row r="2" spans="1:23" s="8" customFormat="1" x14ac:dyDescent="0.35">
      <c r="A2" s="3"/>
      <c r="B2" s="502" t="e" vm="1">
        <v>#VALUE!</v>
      </c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3" s="8" customFormat="1" x14ac:dyDescent="0.35">
      <c r="A3" s="3"/>
      <c r="B3" s="503"/>
      <c r="C3" s="9" t="s">
        <v>0</v>
      </c>
      <c r="D3" s="10">
        <v>46112</v>
      </c>
      <c r="E3" s="9"/>
      <c r="F3" s="11" t="s">
        <v>1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2"/>
    </row>
    <row r="4" spans="1:23" s="8" customFormat="1" x14ac:dyDescent="0.35">
      <c r="A4" s="3"/>
      <c r="B4" s="503"/>
      <c r="C4" s="9" t="s">
        <v>2</v>
      </c>
      <c r="D4" s="13" t="str">
        <f>IF(MONTH($D$3)=3,1,IF(MONTH($D$3)=6,2,IF(MONTH($D$3)=9,3,4)))&amp;"T"&amp;RIGHT(YEAR($D$3),2)</f>
        <v>1T26</v>
      </c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2"/>
    </row>
    <row r="5" spans="1:23" s="8" customFormat="1" ht="16" thickBot="1" x14ac:dyDescent="0.4">
      <c r="A5" s="3"/>
      <c r="B5" s="504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3" s="1" customFormat="1" ht="5.9" customHeight="1" x14ac:dyDescent="0.35"/>
    <row r="7" spans="1:23" s="1" customFormat="1" ht="3" customHeight="1" x14ac:dyDescent="0.35">
      <c r="H7" s="18"/>
      <c r="I7" s="18"/>
      <c r="J7" s="18"/>
      <c r="K7" s="18"/>
      <c r="L7" s="18"/>
      <c r="N7" s="18"/>
      <c r="O7" s="18"/>
      <c r="P7" s="18"/>
      <c r="Q7" s="18"/>
      <c r="R7" s="18"/>
      <c r="S7" s="18"/>
      <c r="T7" s="18"/>
    </row>
    <row r="8" spans="1:23" s="1" customFormat="1" x14ac:dyDescent="0.35">
      <c r="B8" s="20" t="s">
        <v>259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3" s="1" customFormat="1" ht="5.9" customHeight="1" x14ac:dyDescent="0.35">
      <c r="H9" s="18"/>
      <c r="I9" s="18"/>
      <c r="J9" s="18"/>
      <c r="K9" s="18"/>
      <c r="L9" s="18"/>
      <c r="N9" s="18"/>
      <c r="O9" s="18"/>
      <c r="P9" s="18"/>
      <c r="Q9" s="18"/>
      <c r="R9" s="18"/>
      <c r="S9" s="18"/>
      <c r="T9" s="18"/>
    </row>
    <row r="10" spans="1:23" ht="12.65" customHeight="1" thickBot="1" x14ac:dyDescent="0.4">
      <c r="B10" s="193"/>
      <c r="M10" s="194"/>
    </row>
    <row r="11" spans="1:23" ht="41.5" customHeight="1" x14ac:dyDescent="0.35">
      <c r="B11" s="518" t="s">
        <v>260</v>
      </c>
      <c r="C11" s="522" t="s">
        <v>144</v>
      </c>
      <c r="D11" s="522" t="s">
        <v>143</v>
      </c>
      <c r="E11" s="522" t="s">
        <v>142</v>
      </c>
      <c r="F11" s="518" t="s">
        <v>192</v>
      </c>
      <c r="G11" s="518" t="s">
        <v>105</v>
      </c>
      <c r="H11" s="518" t="s">
        <v>261</v>
      </c>
      <c r="I11" s="518" t="s">
        <v>262</v>
      </c>
      <c r="J11" s="518" t="s">
        <v>263</v>
      </c>
      <c r="K11" s="518" t="s">
        <v>264</v>
      </c>
      <c r="L11" s="518" t="s">
        <v>265</v>
      </c>
      <c r="M11" s="528" t="s">
        <v>266</v>
      </c>
      <c r="N11" s="518" t="s">
        <v>267</v>
      </c>
      <c r="O11" s="518" t="s">
        <v>341</v>
      </c>
      <c r="P11" s="518" t="s">
        <v>268</v>
      </c>
      <c r="Q11" s="518" t="s">
        <v>269</v>
      </c>
      <c r="R11" s="518" t="s">
        <v>270</v>
      </c>
      <c r="S11" s="518" t="s">
        <v>271</v>
      </c>
      <c r="T11" s="518" t="s">
        <v>272</v>
      </c>
    </row>
    <row r="12" spans="1:23" ht="41.5" customHeight="1" x14ac:dyDescent="0.35">
      <c r="B12" s="519"/>
      <c r="C12" s="523"/>
      <c r="D12" s="523"/>
      <c r="E12" s="523"/>
      <c r="F12" s="519"/>
      <c r="G12" s="519"/>
      <c r="H12" s="519"/>
      <c r="I12" s="519"/>
      <c r="J12" s="519"/>
      <c r="K12" s="519" t="s">
        <v>273</v>
      </c>
      <c r="L12" s="519"/>
      <c r="M12" s="529"/>
      <c r="N12" s="519"/>
      <c r="O12" s="519"/>
      <c r="P12" s="519"/>
      <c r="Q12" s="519"/>
      <c r="R12" s="519"/>
      <c r="S12" s="519"/>
      <c r="T12" s="519"/>
      <c r="V12" s="453"/>
      <c r="W12" s="326"/>
    </row>
    <row r="13" spans="1:23" ht="31.4" customHeight="1" x14ac:dyDescent="0.35">
      <c r="B13" s="526" t="s">
        <v>274</v>
      </c>
      <c r="C13" s="328" t="s">
        <v>275</v>
      </c>
      <c r="D13" s="328" t="str">
        <f>Crescimento!D13</f>
        <v>003/2017</v>
      </c>
      <c r="E13" s="328" t="str">
        <f>Crescimento!E13</f>
        <v>IE Paraguaçu</v>
      </c>
      <c r="F13" s="329">
        <f>Crescimento!F13</f>
        <v>0.5</v>
      </c>
      <c r="G13" s="328" t="str">
        <f>Crescimento!G13</f>
        <v>BA/MG</v>
      </c>
      <c r="H13" s="330">
        <f>Crescimento!H13</f>
        <v>0</v>
      </c>
      <c r="I13" s="331">
        <f>Crescimento!I13</f>
        <v>81.182602409363156</v>
      </c>
      <c r="J13" s="332">
        <f>Crescimento!J13</f>
        <v>42776</v>
      </c>
      <c r="K13" s="332">
        <f>Crescimento!L13</f>
        <v>44602</v>
      </c>
      <c r="L13" s="332">
        <f>Crescimento!K13</f>
        <v>43466</v>
      </c>
      <c r="M13" s="333">
        <f>Crescimento!M13</f>
        <v>509.59500000000003</v>
      </c>
      <c r="N13" s="333">
        <f>Crescimento!N13</f>
        <v>254.79750000000001</v>
      </c>
      <c r="O13" s="333">
        <f>Crescimento!O13</f>
        <v>333.35899999999998</v>
      </c>
      <c r="P13" s="334" t="s">
        <v>204</v>
      </c>
      <c r="Q13" s="335" t="s">
        <v>276</v>
      </c>
      <c r="R13" s="336">
        <f>Crescimento!R13</f>
        <v>1</v>
      </c>
      <c r="S13" s="337">
        <f>Crescimento!S13</f>
        <v>1</v>
      </c>
      <c r="T13" s="335" t="s">
        <v>277</v>
      </c>
      <c r="V13" s="454"/>
    </row>
    <row r="14" spans="1:23" ht="31.4" customHeight="1" x14ac:dyDescent="0.35">
      <c r="B14" s="526"/>
      <c r="C14" s="338" t="s">
        <v>278</v>
      </c>
      <c r="D14" s="338" t="str">
        <f>Crescimento!D14</f>
        <v>004/2017</v>
      </c>
      <c r="E14" s="338" t="str">
        <f>Crescimento!E14</f>
        <v>IE Aimorés</v>
      </c>
      <c r="F14" s="339">
        <f>Crescimento!F14</f>
        <v>0.5</v>
      </c>
      <c r="G14" s="340" t="str">
        <f>Crescimento!G14</f>
        <v>MG</v>
      </c>
      <c r="H14" s="341">
        <f>Crescimento!H14</f>
        <v>0</v>
      </c>
      <c r="I14" s="342">
        <f>Crescimento!I14</f>
        <v>54.392366149602296</v>
      </c>
      <c r="J14" s="343">
        <f>Crescimento!J14</f>
        <v>42776</v>
      </c>
      <c r="K14" s="343">
        <f>Crescimento!L14</f>
        <v>44602</v>
      </c>
      <c r="L14" s="343">
        <f>Crescimento!K14</f>
        <v>43466</v>
      </c>
      <c r="M14" s="344">
        <f>Crescimento!M14</f>
        <v>341.11799999999999</v>
      </c>
      <c r="N14" s="344">
        <f>Crescimento!N14</f>
        <v>170.559</v>
      </c>
      <c r="O14" s="344">
        <f>Crescimento!O14</f>
        <v>208.2955</v>
      </c>
      <c r="P14" s="345" t="s">
        <v>204</v>
      </c>
      <c r="Q14" s="346" t="s">
        <v>276</v>
      </c>
      <c r="R14" s="347">
        <f>Crescimento!R14</f>
        <v>1</v>
      </c>
      <c r="S14" s="348">
        <f>Crescimento!S14</f>
        <v>1</v>
      </c>
      <c r="T14" s="346" t="s">
        <v>279</v>
      </c>
      <c r="V14" s="454"/>
    </row>
    <row r="15" spans="1:23" ht="31.4" customHeight="1" thickBot="1" x14ac:dyDescent="0.4">
      <c r="B15" s="526"/>
      <c r="C15" s="349" t="s">
        <v>280</v>
      </c>
      <c r="D15" s="349" t="str">
        <f>Crescimento!D15</f>
        <v>018/2017</v>
      </c>
      <c r="E15" s="349" t="str">
        <f>Crescimento!E15</f>
        <v>IE Itaúnas</v>
      </c>
      <c r="F15" s="350">
        <f>Crescimento!F15</f>
        <v>1</v>
      </c>
      <c r="G15" s="351" t="str">
        <f>Crescimento!G15</f>
        <v>ES</v>
      </c>
      <c r="H15" s="352">
        <f>Crescimento!H15</f>
        <v>0.25140000000000001</v>
      </c>
      <c r="I15" s="353">
        <f>Crescimento!I15</f>
        <v>72.109375825255484</v>
      </c>
      <c r="J15" s="354">
        <f>Crescimento!J15</f>
        <v>42776</v>
      </c>
      <c r="K15" s="354">
        <f>Crescimento!L15</f>
        <v>44722</v>
      </c>
      <c r="L15" s="354">
        <f>Crescimento!K15</f>
        <v>43282</v>
      </c>
      <c r="M15" s="355">
        <f>Crescimento!M15</f>
        <v>297.81900000000002</v>
      </c>
      <c r="N15" s="355">
        <f>Crescimento!N15</f>
        <v>297.81900000000002</v>
      </c>
      <c r="O15" s="355">
        <f>Crescimento!O15</f>
        <v>373.803</v>
      </c>
      <c r="P15" s="356" t="s">
        <v>204</v>
      </c>
      <c r="Q15" s="357" t="s">
        <v>281</v>
      </c>
      <c r="R15" s="358">
        <f>Crescimento!R15</f>
        <v>1</v>
      </c>
      <c r="S15" s="359">
        <f>Crescimento!S15</f>
        <v>1</v>
      </c>
      <c r="T15" s="360" t="s">
        <v>282</v>
      </c>
      <c r="V15" s="454"/>
    </row>
    <row r="16" spans="1:23" ht="31.4" customHeight="1" x14ac:dyDescent="0.35">
      <c r="B16" s="524" t="s">
        <v>283</v>
      </c>
      <c r="C16" s="361" t="s">
        <v>284</v>
      </c>
      <c r="D16" s="361" t="str">
        <f>Crescimento!D16</f>
        <v>022/2017</v>
      </c>
      <c r="E16" s="361" t="str">
        <f>Crescimento!E16</f>
        <v>IE Ivaí</v>
      </c>
      <c r="F16" s="362">
        <f>Crescimento!F16</f>
        <v>0.5</v>
      </c>
      <c r="G16" s="363" t="str">
        <f>Crescimento!G16</f>
        <v>PR</v>
      </c>
      <c r="H16" s="364">
        <f>Crescimento!H16</f>
        <v>0.33239999999999997</v>
      </c>
      <c r="I16" s="365">
        <f>Crescimento!I16</f>
        <v>199.36511865079058</v>
      </c>
      <c r="J16" s="366">
        <f>Crescimento!J16</f>
        <v>42958</v>
      </c>
      <c r="K16" s="366">
        <f>Crescimento!L16</f>
        <v>44784</v>
      </c>
      <c r="L16" s="366">
        <f>Crescimento!K16</f>
        <v>44228</v>
      </c>
      <c r="M16" s="367">
        <f>Crescimento!M16</f>
        <v>1936.4738</v>
      </c>
      <c r="N16" s="367">
        <f>Crescimento!N16</f>
        <v>968.23689999999999</v>
      </c>
      <c r="O16" s="367">
        <f>Crescimento!O16</f>
        <v>1064.1994999999999</v>
      </c>
      <c r="P16" s="368" t="s">
        <v>204</v>
      </c>
      <c r="Q16" s="369" t="s">
        <v>285</v>
      </c>
      <c r="R16" s="370">
        <f>Crescimento!R16</f>
        <v>1</v>
      </c>
      <c r="S16" s="371">
        <f>Crescimento!S16</f>
        <v>1</v>
      </c>
      <c r="T16" s="369" t="s">
        <v>286</v>
      </c>
      <c r="V16" s="454"/>
    </row>
    <row r="17" spans="2:20" ht="31.4" customHeight="1" x14ac:dyDescent="0.35">
      <c r="B17" s="527"/>
      <c r="C17" s="372" t="s">
        <v>287</v>
      </c>
      <c r="D17" s="372" t="str">
        <f>Crescimento!D17</f>
        <v>026/2017</v>
      </c>
      <c r="E17" s="372" t="str">
        <f>Crescimento!E17</f>
        <v>IE Tibagi</v>
      </c>
      <c r="F17" s="373">
        <f>Crescimento!F17</f>
        <v>1</v>
      </c>
      <c r="G17" s="374" t="str">
        <f>Crescimento!G17</f>
        <v>SP / PR</v>
      </c>
      <c r="H17" s="375">
        <f>Crescimento!H17</f>
        <v>0.32200000000000001</v>
      </c>
      <c r="I17" s="376">
        <f>Crescimento!I17</f>
        <v>23.670081096464052</v>
      </c>
      <c r="J17" s="377">
        <f>Crescimento!J17</f>
        <v>42958</v>
      </c>
      <c r="K17" s="377">
        <f>Crescimento!L17</f>
        <v>44419</v>
      </c>
      <c r="L17" s="377">
        <f>Crescimento!K17</f>
        <v>42736</v>
      </c>
      <c r="M17" s="378">
        <f>Crescimento!M17</f>
        <v>134.6464</v>
      </c>
      <c r="N17" s="378">
        <f>Crescimento!N17</f>
        <v>134.6464</v>
      </c>
      <c r="O17" s="378">
        <f>Crescimento!O17</f>
        <v>117.526</v>
      </c>
      <c r="P17" s="379" t="s">
        <v>204</v>
      </c>
      <c r="Q17" s="380" t="s">
        <v>281</v>
      </c>
      <c r="R17" s="381">
        <f>Crescimento!R17</f>
        <v>1</v>
      </c>
      <c r="S17" s="382">
        <f>Crescimento!S17</f>
        <v>1</v>
      </c>
      <c r="T17" s="383" t="s">
        <v>288</v>
      </c>
    </row>
    <row r="18" spans="2:20" ht="31.4" customHeight="1" x14ac:dyDescent="0.35">
      <c r="B18" s="527"/>
      <c r="C18" s="372" t="s">
        <v>289</v>
      </c>
      <c r="D18" s="372" t="str">
        <f>Crescimento!D18</f>
        <v>027/2017</v>
      </c>
      <c r="E18" s="372" t="str">
        <f>Crescimento!E18</f>
        <v>IE Itaquerê</v>
      </c>
      <c r="F18" s="373">
        <f>Crescimento!F18</f>
        <v>1</v>
      </c>
      <c r="G18" s="384" t="str">
        <f>Crescimento!G18</f>
        <v>SP / PR</v>
      </c>
      <c r="H18" s="375">
        <f>Crescimento!H18</f>
        <v>0.4451</v>
      </c>
      <c r="I18" s="376">
        <f>Crescimento!I18</f>
        <v>70.794383704919042</v>
      </c>
      <c r="J18" s="377">
        <f>Crescimento!J18</f>
        <v>42958</v>
      </c>
      <c r="K18" s="377">
        <f>Crescimento!L18</f>
        <v>44419</v>
      </c>
      <c r="L18" s="377">
        <f>Crescimento!K18</f>
        <v>43252</v>
      </c>
      <c r="M18" s="378">
        <f>Crescimento!M18</f>
        <v>397.73349999999999</v>
      </c>
      <c r="N18" s="378">
        <f>Crescimento!N18</f>
        <v>397.73349999999999</v>
      </c>
      <c r="O18" s="378">
        <f>Crescimento!O18</f>
        <v>255.90600000000001</v>
      </c>
      <c r="P18" s="379" t="s">
        <v>204</v>
      </c>
      <c r="Q18" s="380" t="s">
        <v>281</v>
      </c>
      <c r="R18" s="381">
        <f>Crescimento!R18</f>
        <v>1</v>
      </c>
      <c r="S18" s="382">
        <f>Crescimento!S18</f>
        <v>1</v>
      </c>
      <c r="T18" s="383" t="s">
        <v>290</v>
      </c>
    </row>
    <row r="19" spans="2:20" ht="31.4" customHeight="1" x14ac:dyDescent="0.35">
      <c r="B19" s="527"/>
      <c r="C19" s="372" t="s">
        <v>291</v>
      </c>
      <c r="D19" s="372" t="str">
        <f>Crescimento!D19</f>
        <v>046/2017</v>
      </c>
      <c r="E19" s="372" t="str">
        <f>Crescimento!E19</f>
        <v>IE Aguapeí</v>
      </c>
      <c r="F19" s="373">
        <f>Crescimento!F19</f>
        <v>1</v>
      </c>
      <c r="G19" s="384" t="str">
        <f>Crescimento!G19</f>
        <v>SP / PR</v>
      </c>
      <c r="H19" s="375">
        <f>Crescimento!H19</f>
        <v>0.52690000000000003</v>
      </c>
      <c r="I19" s="376">
        <f>Crescimento!I19</f>
        <v>83.236966918462116</v>
      </c>
      <c r="J19" s="377">
        <f>Crescimento!J19</f>
        <v>42958</v>
      </c>
      <c r="K19" s="385">
        <f>Crescimento!L19</f>
        <v>44419</v>
      </c>
      <c r="L19" s="377">
        <f>Crescimento!K19</f>
        <v>43435</v>
      </c>
      <c r="M19" s="378">
        <f>Crescimento!M19</f>
        <v>601.87950000000001</v>
      </c>
      <c r="N19" s="378">
        <f>Crescimento!N19</f>
        <v>601.87950000000001</v>
      </c>
      <c r="O19" s="378">
        <f>Crescimento!O19</f>
        <v>363.42</v>
      </c>
      <c r="P19" s="379" t="s">
        <v>204</v>
      </c>
      <c r="Q19" s="383" t="s">
        <v>292</v>
      </c>
      <c r="R19" s="381">
        <f>Crescimento!R19</f>
        <v>1</v>
      </c>
      <c r="S19" s="386">
        <f>Crescimento!S19</f>
        <v>1</v>
      </c>
      <c r="T19" s="383" t="s">
        <v>293</v>
      </c>
    </row>
    <row r="20" spans="2:20" ht="31.4" customHeight="1" thickBot="1" x14ac:dyDescent="0.4">
      <c r="B20" s="525"/>
      <c r="C20" s="387" t="s">
        <v>294</v>
      </c>
      <c r="D20" s="387" t="str">
        <f>Crescimento!D20</f>
        <v>042/2017</v>
      </c>
      <c r="E20" s="387" t="str">
        <f>Crescimento!E20</f>
        <v>IE Jaguar 6</v>
      </c>
      <c r="F20" s="388">
        <f>Crescimento!F20</f>
        <v>1</v>
      </c>
      <c r="G20" s="389" t="str">
        <f>Crescimento!G20</f>
        <v>SP</v>
      </c>
      <c r="H20" s="390">
        <f>Crescimento!H20</f>
        <v>0.57550000000000001</v>
      </c>
      <c r="I20" s="391">
        <f>Crescimento!I20</f>
        <v>16.151413423689903</v>
      </c>
      <c r="J20" s="392">
        <f>Crescimento!J20</f>
        <v>42958</v>
      </c>
      <c r="K20" s="393">
        <f>Crescimento!L20</f>
        <v>44238</v>
      </c>
      <c r="L20" s="392">
        <f>Crescimento!K20</f>
        <v>43678</v>
      </c>
      <c r="M20" s="394">
        <f>Crescimento!M20</f>
        <v>125.79430000000001</v>
      </c>
      <c r="N20" s="394">
        <f>Crescimento!N20</f>
        <v>125.79430000000001</v>
      </c>
      <c r="O20" s="394">
        <f>Crescimento!O20</f>
        <v>62.978000000000002</v>
      </c>
      <c r="P20" s="395" t="s">
        <v>204</v>
      </c>
      <c r="Q20" s="396" t="s">
        <v>295</v>
      </c>
      <c r="R20" s="397">
        <f>Crescimento!R20</f>
        <v>1</v>
      </c>
      <c r="S20" s="398">
        <f>Crescimento!S20</f>
        <v>1</v>
      </c>
      <c r="T20" s="396" t="s">
        <v>292</v>
      </c>
    </row>
    <row r="21" spans="2:20" ht="31.4" customHeight="1" x14ac:dyDescent="0.35">
      <c r="B21" s="526" t="s">
        <v>228</v>
      </c>
      <c r="C21" s="399" t="s">
        <v>296</v>
      </c>
      <c r="D21" s="399" t="str">
        <f>Crescimento!D21</f>
        <v>021/2018</v>
      </c>
      <c r="E21" s="399" t="str">
        <f>Crescimento!E21</f>
        <v>IE Itapura</v>
      </c>
      <c r="F21" s="400">
        <f>Crescimento!F21</f>
        <v>1</v>
      </c>
      <c r="G21" s="399" t="str">
        <f>Crescimento!G21</f>
        <v>SP</v>
      </c>
      <c r="H21" s="401">
        <f>Crescimento!H21</f>
        <v>0.73899999999999999</v>
      </c>
      <c r="I21" s="402">
        <f>Crescimento!I21</f>
        <v>18.289274528771983</v>
      </c>
      <c r="J21" s="403">
        <f>Crescimento!J21</f>
        <v>43364</v>
      </c>
      <c r="K21" s="403">
        <f>Crescimento!L21</f>
        <v>44825</v>
      </c>
      <c r="L21" s="403">
        <f>Crescimento!K21</f>
        <v>43831</v>
      </c>
      <c r="M21" s="404">
        <f>Crescimento!M21</f>
        <v>237.947</v>
      </c>
      <c r="N21" s="404">
        <f>Crescimento!N21</f>
        <v>237.947</v>
      </c>
      <c r="O21" s="404">
        <f>Crescimento!O21</f>
        <v>126.087</v>
      </c>
      <c r="P21" s="405" t="s">
        <v>204</v>
      </c>
      <c r="Q21" s="406" t="s">
        <v>292</v>
      </c>
      <c r="R21" s="407">
        <f>Crescimento!R21</f>
        <v>1</v>
      </c>
      <c r="S21" s="408">
        <f>Crescimento!S21</f>
        <v>1</v>
      </c>
      <c r="T21" s="406" t="s">
        <v>297</v>
      </c>
    </row>
    <row r="22" spans="2:20" ht="31.4" customHeight="1" thickBot="1" x14ac:dyDescent="0.4">
      <c r="B22" s="526"/>
      <c r="C22" s="349" t="s">
        <v>298</v>
      </c>
      <c r="D22" s="349" t="str">
        <f>Crescimento!D22</f>
        <v>012/2018</v>
      </c>
      <c r="E22" s="349" t="str">
        <f>Crescimento!E22</f>
        <v>IE Biguaçu</v>
      </c>
      <c r="F22" s="350">
        <f>Crescimento!F22</f>
        <v>1</v>
      </c>
      <c r="G22" s="349" t="str">
        <f>Crescimento!G22</f>
        <v>SC</v>
      </c>
      <c r="H22" s="352">
        <f>Crescimento!H22</f>
        <v>0.66700000000000004</v>
      </c>
      <c r="I22" s="353">
        <f>Crescimento!I22</f>
        <v>56.287888230804604</v>
      </c>
      <c r="J22" s="354">
        <f>Crescimento!J22</f>
        <v>43364</v>
      </c>
      <c r="K22" s="354">
        <f>Crescimento!L22</f>
        <v>45190</v>
      </c>
      <c r="L22" s="354">
        <f>Crescimento!K22</f>
        <v>44440</v>
      </c>
      <c r="M22" s="355">
        <f>Crescimento!M22</f>
        <v>641.38199999999995</v>
      </c>
      <c r="N22" s="355">
        <f>Crescimento!N22</f>
        <v>641.38199999999995</v>
      </c>
      <c r="O22" s="355">
        <f>Crescimento!O22</f>
        <v>455.96499999999997</v>
      </c>
      <c r="P22" s="356" t="s">
        <v>204</v>
      </c>
      <c r="Q22" s="360" t="s">
        <v>293</v>
      </c>
      <c r="R22" s="358">
        <f>Crescimento!R22</f>
        <v>1</v>
      </c>
      <c r="S22" s="409">
        <f>Crescimento!S22</f>
        <v>1</v>
      </c>
      <c r="T22" s="360" t="s">
        <v>277</v>
      </c>
    </row>
    <row r="23" spans="2:20" ht="31.4" customHeight="1" x14ac:dyDescent="0.35">
      <c r="B23" s="524" t="s">
        <v>299</v>
      </c>
      <c r="C23" s="361" t="s">
        <v>300</v>
      </c>
      <c r="D23" s="361" t="str">
        <f>Crescimento!D23</f>
        <v>001/2020</v>
      </c>
      <c r="E23" s="361" t="str">
        <f>Crescimento!E23</f>
        <v>Evrecy</v>
      </c>
      <c r="F23" s="362">
        <f>Crescimento!F23</f>
        <v>1</v>
      </c>
      <c r="G23" s="410" t="str">
        <f>Crescimento!G23</f>
        <v>RS</v>
      </c>
      <c r="H23" s="364">
        <f>Crescimento!H23</f>
        <v>0.66849999999999998</v>
      </c>
      <c r="I23" s="365">
        <f>Crescimento!I23</f>
        <v>52.959984550000016</v>
      </c>
      <c r="J23" s="366">
        <f>Crescimento!J23</f>
        <v>43891</v>
      </c>
      <c r="K23" s="366">
        <f>Crescimento!L23</f>
        <v>45736</v>
      </c>
      <c r="L23" s="366">
        <f>Crescimento!K23</f>
        <v>43831</v>
      </c>
      <c r="M23" s="367">
        <f>Crescimento!M23</f>
        <v>681.55</v>
      </c>
      <c r="N23" s="367">
        <f>Crescimento!N23</f>
        <v>681.55</v>
      </c>
      <c r="O23" s="367">
        <f>Crescimento!O23</f>
        <v>735.70299999999997</v>
      </c>
      <c r="P23" s="368" t="s">
        <v>204</v>
      </c>
      <c r="Q23" s="369" t="s">
        <v>301</v>
      </c>
      <c r="R23" s="370">
        <f>Crescimento!R23</f>
        <v>1</v>
      </c>
      <c r="S23" s="411">
        <f>Crescimento!S23</f>
        <v>1</v>
      </c>
      <c r="T23" s="369" t="s">
        <v>241</v>
      </c>
    </row>
    <row r="24" spans="2:20" ht="31.4" customHeight="1" x14ac:dyDescent="0.35">
      <c r="B24" s="527"/>
      <c r="C24" s="372" t="s">
        <v>302</v>
      </c>
      <c r="D24" s="372" t="str">
        <f>Crescimento!D24</f>
        <v>006/2020</v>
      </c>
      <c r="E24" s="372" t="str">
        <f>Crescimento!E24</f>
        <v>IE Tibagi</v>
      </c>
      <c r="F24" s="373">
        <f>Crescimento!F24</f>
        <v>1</v>
      </c>
      <c r="G24" s="374" t="str">
        <f>Crescimento!G24</f>
        <v>MS / SP</v>
      </c>
      <c r="H24" s="375">
        <f>Crescimento!H24</f>
        <v>0.68120000000000003</v>
      </c>
      <c r="I24" s="376">
        <f>Crescimento!I24</f>
        <v>7.45860083</v>
      </c>
      <c r="J24" s="377">
        <f>Crescimento!J24</f>
        <v>43891</v>
      </c>
      <c r="K24" s="377">
        <f>Crescimento!L24</f>
        <v>45170</v>
      </c>
      <c r="L24" s="377">
        <f>Crescimento!K24</f>
        <v>43831</v>
      </c>
      <c r="M24" s="378">
        <f>Crescimento!M24</f>
        <v>98.792000000000002</v>
      </c>
      <c r="N24" s="378">
        <f>Crescimento!N24</f>
        <v>98.792000000000002</v>
      </c>
      <c r="O24" s="378">
        <f>Crescimento!O24</f>
        <v>87.067999999999998</v>
      </c>
      <c r="P24" s="379" t="s">
        <v>204</v>
      </c>
      <c r="Q24" s="383" t="s">
        <v>303</v>
      </c>
      <c r="R24" s="381">
        <f>Crescimento!R24</f>
        <v>1</v>
      </c>
      <c r="S24" s="382">
        <f>Crescimento!S24</f>
        <v>1</v>
      </c>
      <c r="T24" s="383" t="s">
        <v>279</v>
      </c>
    </row>
    <row r="25" spans="2:20" ht="31.4" customHeight="1" thickBot="1" x14ac:dyDescent="0.4">
      <c r="B25" s="525"/>
      <c r="C25" s="387" t="s">
        <v>304</v>
      </c>
      <c r="D25" s="387" t="str">
        <f>Crescimento!D25</f>
        <v>007/2020</v>
      </c>
      <c r="E25" s="387" t="str">
        <f>Crescimento!E25</f>
        <v>IEMG</v>
      </c>
      <c r="F25" s="388">
        <f>Crescimento!F25</f>
        <v>1</v>
      </c>
      <c r="G25" s="389" t="str">
        <f>Crescimento!G25</f>
        <v>MG</v>
      </c>
      <c r="H25" s="390">
        <f>Crescimento!H25</f>
        <v>0.65400000000000003</v>
      </c>
      <c r="I25" s="391">
        <f>Crescimento!I25</f>
        <v>46.140901050000011</v>
      </c>
      <c r="J25" s="392">
        <f>Crescimento!J25</f>
        <v>43891</v>
      </c>
      <c r="K25" s="392">
        <f>Crescimento!L25</f>
        <v>45736</v>
      </c>
      <c r="L25" s="392">
        <f>Crescimento!K25</f>
        <v>43831</v>
      </c>
      <c r="M25" s="394">
        <f>Crescimento!M25</f>
        <v>553.56700000000001</v>
      </c>
      <c r="N25" s="394">
        <f>Crescimento!N25</f>
        <v>553.56700000000001</v>
      </c>
      <c r="O25" s="394">
        <f>Crescimento!O25</f>
        <v>519.59500000000003</v>
      </c>
      <c r="P25" s="395" t="s">
        <v>204</v>
      </c>
      <c r="Q25" s="412" t="s">
        <v>301</v>
      </c>
      <c r="R25" s="397">
        <f>Crescimento!R25</f>
        <v>1</v>
      </c>
      <c r="S25" s="398">
        <f>Crescimento!S25</f>
        <v>1</v>
      </c>
      <c r="T25" s="412" t="s">
        <v>305</v>
      </c>
    </row>
    <row r="26" spans="2:20" ht="31.4" customHeight="1" thickBot="1" x14ac:dyDescent="0.4">
      <c r="B26" s="327" t="s">
        <v>306</v>
      </c>
      <c r="C26" s="413" t="s">
        <v>307</v>
      </c>
      <c r="D26" s="413" t="str">
        <f>Crescimento!D26</f>
        <v>005/2021</v>
      </c>
      <c r="E26" s="413" t="str">
        <f>Crescimento!E26</f>
        <v>IE Riacho Grande</v>
      </c>
      <c r="F26" s="414">
        <f>Crescimento!F26</f>
        <v>1</v>
      </c>
      <c r="G26" s="413" t="str">
        <f>Crescimento!G26</f>
        <v>SP</v>
      </c>
      <c r="H26" s="415">
        <f>Crescimento!H26</f>
        <v>0.57899999999999996</v>
      </c>
      <c r="I26" s="416">
        <f>Crescimento!I26</f>
        <v>93.110359205539737</v>
      </c>
      <c r="J26" s="417">
        <f>Crescimento!J26</f>
        <v>44256</v>
      </c>
      <c r="K26" s="418">
        <f>Crescimento!L26</f>
        <v>46112</v>
      </c>
      <c r="L26" s="417">
        <f>Crescimento!K26</f>
        <v>46023</v>
      </c>
      <c r="M26" s="419">
        <f>Crescimento!M26</f>
        <v>1140.6279999999999</v>
      </c>
      <c r="N26" s="419">
        <f>Crescimento!N26</f>
        <v>1140.6279999999999</v>
      </c>
      <c r="O26" s="419">
        <f>Crescimento!O26</f>
        <v>922.06537929785998</v>
      </c>
      <c r="P26" s="420" t="s">
        <v>204</v>
      </c>
      <c r="Q26" s="421" t="s">
        <v>282</v>
      </c>
      <c r="R26" s="422">
        <f>Crescimento!R26</f>
        <v>1</v>
      </c>
      <c r="S26" s="423">
        <f>Crescimento!S26</f>
        <v>1</v>
      </c>
      <c r="T26" s="421" t="str">
        <f>Crescimento!T26</f>
        <v>4T25</v>
      </c>
    </row>
    <row r="27" spans="2:20" ht="31.4" customHeight="1" x14ac:dyDescent="0.35">
      <c r="B27" s="524" t="s">
        <v>242</v>
      </c>
      <c r="C27" s="424" t="s">
        <v>308</v>
      </c>
      <c r="D27" s="361" t="str">
        <f>Crescimento!D27</f>
        <v>008/2022</v>
      </c>
      <c r="E27" s="361" t="str">
        <f>Crescimento!E27</f>
        <v>ISA ENERGIA BRASIL</v>
      </c>
      <c r="F27" s="362">
        <f>Crescimento!F27</f>
        <v>1</v>
      </c>
      <c r="G27" s="410" t="str">
        <f>Crescimento!G27</f>
        <v>MG / ES</v>
      </c>
      <c r="H27" s="364">
        <f>Crescimento!H27</f>
        <v>0.46750000000000003</v>
      </c>
      <c r="I27" s="365">
        <f>Crescimento!I27</f>
        <v>343.10103999980538</v>
      </c>
      <c r="J27" s="366">
        <f>Crescimento!J27</f>
        <v>44805</v>
      </c>
      <c r="K27" s="366">
        <f>Crescimento!L27</f>
        <v>46660</v>
      </c>
      <c r="L27" s="366">
        <f>Crescimento!K27</f>
        <v>46023</v>
      </c>
      <c r="M27" s="367">
        <f>Crescimento!M27</f>
        <v>3653.6077241999965</v>
      </c>
      <c r="N27" s="367">
        <f>Crescimento!N27</f>
        <v>3653.6077241999965</v>
      </c>
      <c r="O27" s="367">
        <f>Crescimento!O27</f>
        <v>3781.664474737825</v>
      </c>
      <c r="P27" s="368" t="str">
        <f>Crescimento!P27</f>
        <v>ü</v>
      </c>
      <c r="Q27" s="369" t="str">
        <f>Crescimento!Q27</f>
        <v>3T24</v>
      </c>
      <c r="R27" s="370">
        <f>Crescimento!R27</f>
        <v>0.995</v>
      </c>
      <c r="S27" s="425">
        <f>Crescimento!S27</f>
        <v>0.98</v>
      </c>
      <c r="T27" s="370" t="s">
        <v>241</v>
      </c>
    </row>
    <row r="28" spans="2:20" ht="31.4" customHeight="1" thickBot="1" x14ac:dyDescent="0.4">
      <c r="B28" s="525"/>
      <c r="C28" s="426" t="s">
        <v>309</v>
      </c>
      <c r="D28" s="387" t="str">
        <f>Crescimento!D28</f>
        <v>011/2022</v>
      </c>
      <c r="E28" s="387" t="str">
        <f>Crescimento!E28</f>
        <v>IE Jaguar 8</v>
      </c>
      <c r="F28" s="388">
        <f>Crescimento!F28</f>
        <v>1</v>
      </c>
      <c r="G28" s="389" t="str">
        <f>Crescimento!G28</f>
        <v>SP</v>
      </c>
      <c r="H28" s="390">
        <f>Crescimento!H28</f>
        <v>0.59209999999999996</v>
      </c>
      <c r="I28" s="391">
        <f>Crescimento!I28</f>
        <v>16.129841075719565</v>
      </c>
      <c r="J28" s="392">
        <f>Crescimento!J28</f>
        <v>44805</v>
      </c>
      <c r="K28" s="392">
        <f>Crescimento!L28</f>
        <v>46111</v>
      </c>
      <c r="L28" s="392">
        <f>Crescimento!K28</f>
        <v>46111</v>
      </c>
      <c r="M28" s="394">
        <f>Crescimento!M28</f>
        <v>232.29230019999977</v>
      </c>
      <c r="N28" s="394">
        <f>Crescimento!N28</f>
        <v>232.29230019999977</v>
      </c>
      <c r="O28" s="394">
        <f>Crescimento!O28</f>
        <v>175.73289417347999</v>
      </c>
      <c r="P28" s="395" t="str">
        <f>Crescimento!P28</f>
        <v>ü</v>
      </c>
      <c r="Q28" s="412" t="str">
        <f>Crescimento!Q28</f>
        <v>3T24</v>
      </c>
      <c r="R28" s="397">
        <f>Crescimento!R28</f>
        <v>1</v>
      </c>
      <c r="S28" s="427">
        <f>Crescimento!S28</f>
        <v>1</v>
      </c>
      <c r="T28" s="397" t="s">
        <v>241</v>
      </c>
    </row>
    <row r="29" spans="2:20" ht="31.4" customHeight="1" x14ac:dyDescent="0.35">
      <c r="B29" s="526" t="s">
        <v>246</v>
      </c>
      <c r="C29" s="428" t="s">
        <v>310</v>
      </c>
      <c r="D29" s="399" t="str">
        <f>Crescimento!D29</f>
        <v>006/2023</v>
      </c>
      <c r="E29" s="399" t="str">
        <f>Crescimento!E29</f>
        <v>ISA ENERGIA BRASIL</v>
      </c>
      <c r="F29" s="400">
        <f>Crescimento!F29</f>
        <v>1</v>
      </c>
      <c r="G29" s="399" t="s">
        <v>125</v>
      </c>
      <c r="H29" s="401">
        <v>0.44845841403381792</v>
      </c>
      <c r="I29" s="402">
        <f>Crescimento!I29</f>
        <v>321.80777299039528</v>
      </c>
      <c r="J29" s="403">
        <f>Crescimento!J29</f>
        <v>45170</v>
      </c>
      <c r="K29" s="403">
        <f>Crescimento!L29</f>
        <v>47206</v>
      </c>
      <c r="L29" s="403" t="s">
        <v>311</v>
      </c>
      <c r="M29" s="404">
        <f>Crescimento!M29</f>
        <v>3157</v>
      </c>
      <c r="N29" s="404">
        <v>3157</v>
      </c>
      <c r="O29" s="404">
        <f>Crescimento!O29</f>
        <v>1334.7619999999999</v>
      </c>
      <c r="P29" s="406" t="str">
        <f>Crescimento!P29</f>
        <v>1T26</v>
      </c>
      <c r="Q29" s="406" t="str">
        <f>Crescimento!Q29</f>
        <v>3T25</v>
      </c>
      <c r="R29" s="407">
        <f>Crescimento!R29</f>
        <v>0.92</v>
      </c>
      <c r="S29" s="429">
        <f>Crescimento!S29</f>
        <v>0.37</v>
      </c>
      <c r="T29" s="407" t="s">
        <v>241</v>
      </c>
    </row>
    <row r="30" spans="2:20" ht="31.4" customHeight="1" x14ac:dyDescent="0.35">
      <c r="B30" s="526"/>
      <c r="C30" s="430" t="s">
        <v>312</v>
      </c>
      <c r="D30" s="338" t="str">
        <f>Crescimento!D30</f>
        <v>012/2023</v>
      </c>
      <c r="E30" s="338" t="str">
        <f>Crescimento!E30</f>
        <v>ISA ENERGIA BRASIL</v>
      </c>
      <c r="F30" s="339">
        <f>Crescimento!F30</f>
        <v>1</v>
      </c>
      <c r="G30" s="338" t="str">
        <f>Crescimento!G30</f>
        <v>RJ/MG</v>
      </c>
      <c r="H30" s="341">
        <f>Crescimento!H30</f>
        <v>0.41807009111977111</v>
      </c>
      <c r="I30" s="342">
        <f>Crescimento!I30</f>
        <v>248.17739441979884</v>
      </c>
      <c r="J30" s="343">
        <f>Crescimento!J30</f>
        <v>45170</v>
      </c>
      <c r="K30" s="343">
        <f>Crescimento!L30</f>
        <v>47206</v>
      </c>
      <c r="L30" s="343" t="s">
        <v>311</v>
      </c>
      <c r="M30" s="344">
        <f>Crescimento!M30</f>
        <v>2342.297462</v>
      </c>
      <c r="N30" s="344">
        <f>Crescimento!N30</f>
        <v>2342.297462</v>
      </c>
      <c r="O30" s="344">
        <f>Crescimento!O30</f>
        <v>481.173</v>
      </c>
      <c r="P30" s="346" t="str">
        <f>Crescimento!P30</f>
        <v>3T26</v>
      </c>
      <c r="Q30" s="346" t="str">
        <f>Crescimento!Q30</f>
        <v>3T26</v>
      </c>
      <c r="R30" s="347">
        <f>Crescimento!R30</f>
        <v>0.83</v>
      </c>
      <c r="S30" s="431">
        <f>Crescimento!S30</f>
        <v>0.28000000000000003</v>
      </c>
      <c r="T30" s="347" t="s">
        <v>241</v>
      </c>
    </row>
    <row r="31" spans="2:20" ht="31.4" customHeight="1" x14ac:dyDescent="0.35">
      <c r="B31" s="526"/>
      <c r="C31" s="432" t="s">
        <v>313</v>
      </c>
      <c r="D31" s="433" t="str">
        <f>Crescimento!D31</f>
        <v>014/2023</v>
      </c>
      <c r="E31" s="433" t="str">
        <f>Crescimento!E31</f>
        <v>IE Tibagi</v>
      </c>
      <c r="F31" s="434">
        <f>Crescimento!F31</f>
        <v>1</v>
      </c>
      <c r="G31" s="433" t="str">
        <f>Crescimento!G31</f>
        <v>SP</v>
      </c>
      <c r="H31" s="435">
        <f>Crescimento!H31</f>
        <v>0.50359281172903692</v>
      </c>
      <c r="I31" s="436">
        <f>Crescimento!I31</f>
        <v>8.4597039392108826</v>
      </c>
      <c r="J31" s="437">
        <f>Crescimento!J31</f>
        <v>45170</v>
      </c>
      <c r="K31" s="437">
        <f>Crescimento!L31</f>
        <v>46294</v>
      </c>
      <c r="L31" s="437" t="str">
        <f>Crescimento!K31</f>
        <v>Imediata</v>
      </c>
      <c r="M31" s="438">
        <f>Crescimento!M31</f>
        <v>94.176896999999997</v>
      </c>
      <c r="N31" s="438">
        <f>Crescimento!N31</f>
        <v>94.176896999999997</v>
      </c>
      <c r="O31" s="438">
        <f>Crescimento!O31</f>
        <v>87.06</v>
      </c>
      <c r="P31" s="420" t="str">
        <f>Crescimento!P31</f>
        <v>ü</v>
      </c>
      <c r="Q31" s="439" t="str">
        <f>Crescimento!Q31</f>
        <v>3T24</v>
      </c>
      <c r="R31" s="440">
        <f>Crescimento!R31</f>
        <v>1</v>
      </c>
      <c r="S31" s="441">
        <f>Crescimento!S31</f>
        <v>1</v>
      </c>
      <c r="T31" s="440" t="s">
        <v>241</v>
      </c>
    </row>
    <row r="32" spans="2:20" ht="25.75" customHeight="1" thickBot="1" x14ac:dyDescent="0.4">
      <c r="B32" s="521" t="str">
        <f>"Total ("&amp;COUNTA(C13:C31)&amp;")"</f>
        <v>Total (19)</v>
      </c>
      <c r="C32" s="521"/>
      <c r="D32" s="521"/>
      <c r="E32" s="521"/>
      <c r="F32" s="521"/>
      <c r="G32" s="521"/>
      <c r="H32" s="311">
        <f>Crescimento!H32</f>
        <v>0.47157650090503406</v>
      </c>
      <c r="I32" s="312">
        <f>Crescimento!I32</f>
        <v>1812.825068998593</v>
      </c>
      <c r="J32" s="313" t="str">
        <f>Crescimento!J32</f>
        <v>-</v>
      </c>
      <c r="K32" s="313" t="str">
        <f>Crescimento!L32</f>
        <v>-</v>
      </c>
      <c r="L32" s="313" t="str">
        <f>Crescimento!K32</f>
        <v>-</v>
      </c>
      <c r="M32" s="313">
        <f>SUM(M13:M26)</f>
        <v>7698.9254999999994</v>
      </c>
      <c r="N32" s="313">
        <f>Crescimento!N32</f>
        <v>15784.706483399998</v>
      </c>
      <c r="O32" s="313">
        <f>Crescimento!O32</f>
        <v>11486.362748209165</v>
      </c>
      <c r="P32" s="313">
        <f>Crescimento!N32</f>
        <v>15784.706483399998</v>
      </c>
      <c r="Q32" s="313">
        <f>Crescimento!O32</f>
        <v>11486.362748209165</v>
      </c>
      <c r="R32" s="313" t="str">
        <f>Crescimento!P32</f>
        <v>-</v>
      </c>
      <c r="S32" s="313" t="str">
        <f>Crescimento!Q32</f>
        <v>-</v>
      </c>
      <c r="T32" s="313" t="s">
        <v>241</v>
      </c>
    </row>
    <row r="33" spans="2:20" ht="18" x14ac:dyDescent="0.35">
      <c r="B33" s="314"/>
      <c r="C33" s="315"/>
      <c r="D33" s="315"/>
      <c r="E33" s="315"/>
      <c r="F33" s="315"/>
      <c r="G33" s="315"/>
      <c r="H33" s="315"/>
      <c r="I33" s="316"/>
      <c r="J33" s="317"/>
      <c r="K33" s="317"/>
      <c r="L33" s="317"/>
      <c r="N33" s="317"/>
      <c r="P33" s="315"/>
      <c r="Q33" s="561">
        <v>0</v>
      </c>
      <c r="R33" s="315"/>
      <c r="S33" s="315"/>
      <c r="T33" s="315"/>
    </row>
    <row r="34" spans="2:20" x14ac:dyDescent="0.35">
      <c r="B34" s="318" t="s">
        <v>314</v>
      </c>
      <c r="H34" s="319"/>
      <c r="I34" s="319"/>
      <c r="J34" s="316"/>
      <c r="K34" s="316"/>
      <c r="L34" s="316"/>
      <c r="N34" s="319"/>
    </row>
    <row r="35" spans="2:20" x14ac:dyDescent="0.35">
      <c r="B35" s="318" t="s">
        <v>315</v>
      </c>
      <c r="C35" s="318"/>
      <c r="D35" s="318"/>
      <c r="E35" s="318"/>
      <c r="F35" s="318"/>
      <c r="G35" s="318"/>
      <c r="H35" s="318"/>
      <c r="I35" s="321"/>
      <c r="N35" s="318"/>
    </row>
    <row r="36" spans="2:20" x14ac:dyDescent="0.35">
      <c r="B36" s="318" t="s">
        <v>316</v>
      </c>
      <c r="I36" s="318"/>
      <c r="J36" s="318"/>
      <c r="K36" s="318"/>
      <c r="L36" s="318"/>
      <c r="O36" s="318"/>
      <c r="P36" s="318"/>
      <c r="Q36" s="318"/>
      <c r="R36" s="318"/>
      <c r="S36" s="318"/>
      <c r="T36" s="318"/>
    </row>
    <row r="37" spans="2:20" x14ac:dyDescent="0.35">
      <c r="B37" s="318" t="s">
        <v>317</v>
      </c>
      <c r="H37" s="324"/>
    </row>
    <row r="38" spans="2:20" x14ac:dyDescent="0.35">
      <c r="C38" s="318"/>
      <c r="D38" s="318"/>
      <c r="E38" s="318"/>
      <c r="F38" s="318"/>
      <c r="G38" s="318"/>
      <c r="H38" s="318"/>
      <c r="I38" s="318"/>
      <c r="N38" s="318"/>
    </row>
    <row r="39" spans="2:20" x14ac:dyDescent="0.35">
      <c r="B39" s="318"/>
      <c r="C39" s="318"/>
      <c r="D39" s="318"/>
      <c r="E39" s="318"/>
      <c r="F39" s="318"/>
      <c r="G39" s="318"/>
      <c r="H39" s="318"/>
      <c r="I39" s="318"/>
      <c r="N39" s="318"/>
    </row>
    <row r="40" spans="2:20" ht="11.15" customHeight="1" x14ac:dyDescent="0.35">
      <c r="C40" s="318"/>
      <c r="D40" s="318"/>
      <c r="E40" s="318"/>
      <c r="F40" s="318"/>
      <c r="G40" s="318"/>
      <c r="H40" s="318"/>
      <c r="I40" s="318"/>
      <c r="N40" s="318"/>
    </row>
    <row r="41" spans="2:20" hidden="1" x14ac:dyDescent="0.35">
      <c r="N41" s="325"/>
    </row>
  </sheetData>
  <mergeCells count="27">
    <mergeCell ref="B27:B28"/>
    <mergeCell ref="B29:B31"/>
    <mergeCell ref="B32:G32"/>
    <mergeCell ref="S11:S12"/>
    <mergeCell ref="T11:T12"/>
    <mergeCell ref="B13:B15"/>
    <mergeCell ref="B16:B20"/>
    <mergeCell ref="B21:B22"/>
    <mergeCell ref="B23:B25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B2:B5"/>
    <mergeCell ref="B11:B12"/>
    <mergeCell ref="C11:C12"/>
    <mergeCell ref="D11:D12"/>
    <mergeCell ref="E11:E12"/>
    <mergeCell ref="F11:F12"/>
  </mergeCells>
  <hyperlinks>
    <hyperlink ref="F3" location="Menu!A1" display="→Menu←" xr:uid="{3DEAE934-A9A8-4F02-BA11-7CDE2CB461D1}"/>
  </hyperlink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Concessões</vt:lpstr>
      <vt:lpstr>Concessions</vt:lpstr>
      <vt:lpstr>Concessões (tabela site)</vt:lpstr>
      <vt:lpstr>Concessions (tabela site)</vt:lpstr>
      <vt:lpstr>Capacidade Instalada</vt:lpstr>
      <vt:lpstr>Installed Capacity</vt:lpstr>
      <vt:lpstr>Crescimento</vt:lpstr>
      <vt:lpstr>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Nathalia Geromel</cp:lastModifiedBy>
  <dcterms:created xsi:type="dcterms:W3CDTF">2023-01-16T22:46:17Z</dcterms:created>
  <dcterms:modified xsi:type="dcterms:W3CDTF">2026-04-17T21:27:15Z</dcterms:modified>
</cp:coreProperties>
</file>