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OVA REDE\1. ADMINISTRATIVO\1.17. Site\2025\4T25\Excel\"/>
    </mc:Choice>
  </mc:AlternateContent>
  <xr:revisionPtr revIDLastSave="0" documentId="13_ncr:1_{B643C216-1ACD-442A-9DC4-B46F791C60EF}" xr6:coauthVersionLast="47" xr6:coauthVersionMax="47" xr10:uidLastSave="{00000000-0000-0000-0000-000000000000}"/>
  <bookViews>
    <workbookView xWindow="-110" yWindow="-110" windowWidth="19420" windowHeight="11500" activeTab="1" xr2:uid="{44BAF363-D45A-429E-B733-028ED5E9CF4B}"/>
  </bookViews>
  <sheets>
    <sheet name="Proventos (port)" sheetId="6" r:id="rId1"/>
    <sheet name="Proventos (eng)" sheetId="7" r:id="rId2"/>
  </sheets>
  <externalReferences>
    <externalReference r:id="rId3"/>
  </externalReferences>
  <definedNames>
    <definedName name="__123Graph_A" hidden="1">#REF!</definedName>
    <definedName name="__123Graph_ACOMPARA" hidden="1">#REF!</definedName>
    <definedName name="__123Graph_ACONSMED" hidden="1">#REF!</definedName>
    <definedName name="__123Graph_APREVROUT" hidden="1">#REF!</definedName>
    <definedName name="__123Graph_DPREVREALI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1__123Graph_ACHART_29" hidden="1">#REF!</definedName>
    <definedName name="_21__123Graph_ACHART_3" hidden="1">#REF!</definedName>
    <definedName name="_22__123Graph_ACHART_3" hidden="1">#REF!</definedName>
    <definedName name="_22__123Graph_ACHART_30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xlnm._FilterDatabase" localSheetId="0" hidden="1">'Proventos (port)'!$A$6:$J$19</definedName>
    <definedName name="_xlnm._FilterDatabase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AA" hidden="1">#REF!</definedName>
    <definedName name="AAAAA" hidden="1">#REF!</definedName>
    <definedName name="AAAAAA" hidden="1">#REF!</definedName>
    <definedName name="AAAAAAAAA" hidden="1">#REF!</definedName>
    <definedName name="anscount" hidden="1">3</definedName>
    <definedName name="AS2DocOpenMode" hidden="1">"AS2DocumentEdit"</definedName>
    <definedName name="HTML_CodePage" hidden="1">1252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limcount" hidden="1">1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Z15" i="6"/>
  <c r="AA7" i="6"/>
  <c r="V10" i="6"/>
  <c r="O10" i="6"/>
  <c r="A23" i="6"/>
  <c r="A22" i="6"/>
  <c r="A21" i="6"/>
  <c r="A19" i="6"/>
  <c r="A18" i="6"/>
  <c r="A17" i="6"/>
  <c r="A15" i="6"/>
  <c r="A14" i="6"/>
  <c r="A13" i="6"/>
  <c r="A10" i="6"/>
  <c r="A11" i="6"/>
  <c r="A9" i="6"/>
  <c r="A157" i="6"/>
  <c r="A156" i="6"/>
  <c r="A155" i="6"/>
  <c r="A154" i="6"/>
  <c r="A151" i="6"/>
  <c r="A148" i="6"/>
  <c r="A145" i="6"/>
  <c r="A144" i="6"/>
  <c r="A143" i="6"/>
  <c r="A140" i="6"/>
  <c r="A139" i="6"/>
  <c r="A138" i="6"/>
  <c r="A135" i="6"/>
  <c r="A134" i="6"/>
  <c r="A133" i="6"/>
  <c r="A132" i="6"/>
  <c r="A131" i="6"/>
  <c r="A130" i="6"/>
  <c r="A129" i="6"/>
  <c r="A126" i="6"/>
  <c r="A125" i="6"/>
  <c r="A124" i="6"/>
  <c r="A123" i="6"/>
  <c r="A122" i="6"/>
  <c r="A121" i="6"/>
  <c r="A120" i="6"/>
  <c r="A119" i="6"/>
  <c r="A118" i="6"/>
  <c r="A115" i="6"/>
  <c r="A114" i="6"/>
  <c r="A113" i="6"/>
  <c r="A112" i="6"/>
  <c r="A111" i="6"/>
  <c r="A110" i="6"/>
  <c r="A109" i="6"/>
  <c r="A108" i="6"/>
  <c r="A107" i="6"/>
  <c r="A106" i="6"/>
  <c r="A103" i="6"/>
  <c r="A102" i="6"/>
  <c r="A101" i="6"/>
  <c r="A100" i="6"/>
  <c r="A99" i="6"/>
  <c r="A98" i="6"/>
  <c r="A97" i="6"/>
  <c r="A96" i="6"/>
  <c r="A95" i="6"/>
  <c r="A92" i="6"/>
  <c r="A91" i="6"/>
  <c r="A90" i="6"/>
  <c r="A89" i="6"/>
  <c r="A88" i="6"/>
  <c r="A87" i="6"/>
  <c r="A84" i="6"/>
  <c r="A83" i="6"/>
  <c r="A82" i="6"/>
  <c r="A81" i="6"/>
  <c r="A78" i="6"/>
  <c r="A77" i="6"/>
  <c r="A74" i="6"/>
  <c r="A73" i="6"/>
  <c r="A72" i="6"/>
  <c r="A69" i="6"/>
  <c r="A68" i="6"/>
  <c r="A65" i="6"/>
  <c r="A64" i="6"/>
  <c r="A61" i="6"/>
  <c r="A60" i="6"/>
  <c r="A59" i="6"/>
  <c r="A56" i="6"/>
  <c r="A55" i="6"/>
  <c r="A54" i="6"/>
  <c r="A51" i="6"/>
  <c r="A50" i="6"/>
  <c r="A49" i="6"/>
  <c r="A48" i="6"/>
  <c r="A45" i="6"/>
  <c r="A44" i="6"/>
  <c r="A43" i="6"/>
  <c r="A42" i="6"/>
  <c r="A41" i="6"/>
  <c r="A40" i="6"/>
  <c r="A37" i="6"/>
  <c r="A36" i="6"/>
  <c r="A35" i="6"/>
  <c r="A34" i="6"/>
  <c r="A33" i="6"/>
  <c r="A30" i="6"/>
  <c r="A27" i="6"/>
  <c r="A26" i="6"/>
  <c r="I19" i="7"/>
  <c r="I15" i="7"/>
  <c r="I11" i="7"/>
  <c r="I7" i="7"/>
  <c r="G24" i="7"/>
  <c r="G20" i="6"/>
  <c r="G19" i="7" s="1"/>
  <c r="G16" i="6"/>
  <c r="G15" i="7" s="1"/>
  <c r="G12" i="6"/>
  <c r="G11" i="7" s="1"/>
  <c r="G8" i="6"/>
  <c r="G7" i="7" s="1"/>
  <c r="G164" i="6" l="1"/>
  <c r="I164" i="6"/>
  <c r="F156" i="7" l="1"/>
  <c r="E156" i="7"/>
  <c r="D156" i="7"/>
  <c r="C156" i="7"/>
  <c r="A156" i="7"/>
  <c r="F155" i="7"/>
  <c r="E155" i="7"/>
  <c r="D155" i="7"/>
  <c r="C155" i="7"/>
  <c r="A155" i="7"/>
  <c r="F154" i="7"/>
  <c r="E154" i="7"/>
  <c r="D154" i="7"/>
  <c r="C154" i="7"/>
  <c r="A154" i="7"/>
  <c r="F153" i="7"/>
  <c r="E153" i="7"/>
  <c r="D153" i="7"/>
  <c r="C153" i="7"/>
  <c r="A153" i="7"/>
  <c r="I152" i="7"/>
  <c r="A152" i="7"/>
  <c r="F150" i="7"/>
  <c r="F149" i="7" s="1"/>
  <c r="E150" i="7"/>
  <c r="E149" i="7" s="1"/>
  <c r="D150" i="7"/>
  <c r="C150" i="7"/>
  <c r="A150" i="7"/>
  <c r="I149" i="7"/>
  <c r="A149" i="7"/>
  <c r="F147" i="7"/>
  <c r="F146" i="7" s="1"/>
  <c r="E147" i="7"/>
  <c r="E146" i="7" s="1"/>
  <c r="D147" i="7"/>
  <c r="C147" i="7"/>
  <c r="A147" i="7"/>
  <c r="I146" i="7"/>
  <c r="A146" i="7"/>
  <c r="F144" i="7"/>
  <c r="E144" i="7"/>
  <c r="D144" i="7"/>
  <c r="C144" i="7"/>
  <c r="A144" i="7"/>
  <c r="F143" i="7"/>
  <c r="E143" i="7"/>
  <c r="D143" i="7"/>
  <c r="C143" i="7"/>
  <c r="A143" i="7"/>
  <c r="F142" i="7"/>
  <c r="E142" i="7"/>
  <c r="D142" i="7"/>
  <c r="C142" i="7"/>
  <c r="A142" i="7"/>
  <c r="I141" i="7"/>
  <c r="A141" i="7"/>
  <c r="F139" i="7"/>
  <c r="E139" i="7"/>
  <c r="D139" i="7"/>
  <c r="C139" i="7"/>
  <c r="A139" i="7"/>
  <c r="F138" i="7"/>
  <c r="E138" i="7"/>
  <c r="D138" i="7"/>
  <c r="C138" i="7"/>
  <c r="A138" i="7"/>
  <c r="F137" i="7"/>
  <c r="E137" i="7"/>
  <c r="D137" i="7"/>
  <c r="C137" i="7"/>
  <c r="A137" i="7"/>
  <c r="I136" i="7"/>
  <c r="A136" i="7"/>
  <c r="F134" i="7"/>
  <c r="E134" i="7"/>
  <c r="D134" i="7"/>
  <c r="C134" i="7"/>
  <c r="A134" i="7"/>
  <c r="F133" i="7"/>
  <c r="E133" i="7"/>
  <c r="D133" i="7"/>
  <c r="C133" i="7"/>
  <c r="A133" i="7"/>
  <c r="F132" i="7"/>
  <c r="E132" i="7"/>
  <c r="D132" i="7"/>
  <c r="C132" i="7"/>
  <c r="A132" i="7"/>
  <c r="F131" i="7"/>
  <c r="E131" i="7"/>
  <c r="D131" i="7"/>
  <c r="C131" i="7"/>
  <c r="A131" i="7"/>
  <c r="F130" i="7"/>
  <c r="E130" i="7"/>
  <c r="D130" i="7"/>
  <c r="C130" i="7"/>
  <c r="A130" i="7"/>
  <c r="F129" i="7"/>
  <c r="E129" i="7"/>
  <c r="D129" i="7"/>
  <c r="C129" i="7"/>
  <c r="A129" i="7"/>
  <c r="F128" i="7"/>
  <c r="E128" i="7"/>
  <c r="D128" i="7"/>
  <c r="C128" i="7"/>
  <c r="A128" i="7"/>
  <c r="I127" i="7"/>
  <c r="A127" i="7"/>
  <c r="F125" i="7"/>
  <c r="E125" i="7"/>
  <c r="D125" i="7"/>
  <c r="C125" i="7"/>
  <c r="A125" i="7"/>
  <c r="F124" i="7"/>
  <c r="E124" i="7"/>
  <c r="D124" i="7"/>
  <c r="C124" i="7"/>
  <c r="A124" i="7"/>
  <c r="F123" i="7"/>
  <c r="E123" i="7"/>
  <c r="D123" i="7"/>
  <c r="C123" i="7"/>
  <c r="A123" i="7"/>
  <c r="F122" i="7"/>
  <c r="E122" i="7"/>
  <c r="D122" i="7"/>
  <c r="C122" i="7"/>
  <c r="A122" i="7"/>
  <c r="F121" i="7"/>
  <c r="E121" i="7"/>
  <c r="D121" i="7"/>
  <c r="C121" i="7"/>
  <c r="A121" i="7"/>
  <c r="F120" i="7"/>
  <c r="E120" i="7"/>
  <c r="D120" i="7"/>
  <c r="C120" i="7"/>
  <c r="A120" i="7"/>
  <c r="F119" i="7"/>
  <c r="E119" i="7"/>
  <c r="D119" i="7"/>
  <c r="C119" i="7"/>
  <c r="A119" i="7"/>
  <c r="F118" i="7"/>
  <c r="E118" i="7"/>
  <c r="D118" i="7"/>
  <c r="C118" i="7"/>
  <c r="A118" i="7"/>
  <c r="F117" i="7"/>
  <c r="E117" i="7"/>
  <c r="D117" i="7"/>
  <c r="C117" i="7"/>
  <c r="A117" i="7"/>
  <c r="I116" i="7"/>
  <c r="A116" i="7"/>
  <c r="F114" i="7"/>
  <c r="E114" i="7"/>
  <c r="D114" i="7"/>
  <c r="C114" i="7"/>
  <c r="A114" i="7"/>
  <c r="F113" i="7"/>
  <c r="E113" i="7"/>
  <c r="D113" i="7"/>
  <c r="C113" i="7"/>
  <c r="A113" i="7"/>
  <c r="F112" i="7"/>
  <c r="E112" i="7"/>
  <c r="D112" i="7"/>
  <c r="C112" i="7"/>
  <c r="A112" i="7"/>
  <c r="F111" i="7"/>
  <c r="E111" i="7"/>
  <c r="D111" i="7"/>
  <c r="C111" i="7"/>
  <c r="A111" i="7"/>
  <c r="F110" i="7"/>
  <c r="E110" i="7"/>
  <c r="D110" i="7"/>
  <c r="C110" i="7"/>
  <c r="A110" i="7"/>
  <c r="F109" i="7"/>
  <c r="E109" i="7"/>
  <c r="D109" i="7"/>
  <c r="C109" i="7"/>
  <c r="A109" i="7"/>
  <c r="F108" i="7"/>
  <c r="E108" i="7"/>
  <c r="D108" i="7"/>
  <c r="C108" i="7"/>
  <c r="A108" i="7"/>
  <c r="F107" i="7"/>
  <c r="E107" i="7"/>
  <c r="D107" i="7"/>
  <c r="C107" i="7"/>
  <c r="A107" i="7"/>
  <c r="F106" i="7"/>
  <c r="E106" i="7"/>
  <c r="D106" i="7"/>
  <c r="C106" i="7"/>
  <c r="A106" i="7"/>
  <c r="F105" i="7"/>
  <c r="E105" i="7"/>
  <c r="D105" i="7"/>
  <c r="C105" i="7"/>
  <c r="A105" i="7"/>
  <c r="I104" i="7"/>
  <c r="A104" i="7"/>
  <c r="F102" i="7"/>
  <c r="E102" i="7"/>
  <c r="D102" i="7"/>
  <c r="C102" i="7"/>
  <c r="A102" i="7"/>
  <c r="F101" i="7"/>
  <c r="E101" i="7"/>
  <c r="D101" i="7"/>
  <c r="C101" i="7"/>
  <c r="A101" i="7"/>
  <c r="F100" i="7"/>
  <c r="E100" i="7"/>
  <c r="D100" i="7"/>
  <c r="C100" i="7"/>
  <c r="A100" i="7"/>
  <c r="F99" i="7"/>
  <c r="E99" i="7"/>
  <c r="D99" i="7"/>
  <c r="C99" i="7"/>
  <c r="A99" i="7"/>
  <c r="F98" i="7"/>
  <c r="E98" i="7"/>
  <c r="D98" i="7"/>
  <c r="C98" i="7"/>
  <c r="A98" i="7"/>
  <c r="F97" i="7"/>
  <c r="E97" i="7"/>
  <c r="D97" i="7"/>
  <c r="C97" i="7"/>
  <c r="A97" i="7"/>
  <c r="F96" i="7"/>
  <c r="E96" i="7"/>
  <c r="D96" i="7"/>
  <c r="C96" i="7"/>
  <c r="A96" i="7"/>
  <c r="F95" i="7"/>
  <c r="E95" i="7"/>
  <c r="D95" i="7"/>
  <c r="C95" i="7"/>
  <c r="A95" i="7"/>
  <c r="F94" i="7"/>
  <c r="E94" i="7"/>
  <c r="D94" i="7"/>
  <c r="C94" i="7"/>
  <c r="A94" i="7"/>
  <c r="I93" i="7"/>
  <c r="A93" i="7"/>
  <c r="F91" i="7"/>
  <c r="E91" i="7"/>
  <c r="D91" i="7"/>
  <c r="C91" i="7"/>
  <c r="A91" i="7"/>
  <c r="F90" i="7"/>
  <c r="D90" i="7"/>
  <c r="C90" i="7"/>
  <c r="A90" i="7"/>
  <c r="F89" i="7"/>
  <c r="D89" i="7"/>
  <c r="C89" i="7"/>
  <c r="A89" i="7"/>
  <c r="F88" i="7"/>
  <c r="D88" i="7"/>
  <c r="C88" i="7"/>
  <c r="A88" i="7"/>
  <c r="F87" i="7"/>
  <c r="E87" i="7"/>
  <c r="D87" i="7"/>
  <c r="C87" i="7"/>
  <c r="A87" i="7"/>
  <c r="F86" i="7"/>
  <c r="E86" i="7"/>
  <c r="D86" i="7"/>
  <c r="C86" i="7"/>
  <c r="A86" i="7"/>
  <c r="A85" i="7"/>
  <c r="F83" i="7"/>
  <c r="E83" i="7"/>
  <c r="D83" i="7"/>
  <c r="C83" i="7"/>
  <c r="A83" i="7"/>
  <c r="F82" i="7"/>
  <c r="E82" i="7"/>
  <c r="D82" i="7"/>
  <c r="C82" i="7"/>
  <c r="A82" i="7"/>
  <c r="F81" i="7"/>
  <c r="E81" i="7"/>
  <c r="D81" i="7"/>
  <c r="C81" i="7"/>
  <c r="A81" i="7"/>
  <c r="F80" i="7"/>
  <c r="E80" i="7"/>
  <c r="D80" i="7"/>
  <c r="C80" i="7"/>
  <c r="A80" i="7"/>
  <c r="A79" i="7"/>
  <c r="F77" i="7"/>
  <c r="D77" i="7"/>
  <c r="C77" i="7"/>
  <c r="A77" i="7"/>
  <c r="F76" i="7"/>
  <c r="D76" i="7"/>
  <c r="C76" i="7"/>
  <c r="A76" i="7"/>
  <c r="A75" i="7"/>
  <c r="F73" i="7"/>
  <c r="E73" i="7"/>
  <c r="D73" i="7"/>
  <c r="C73" i="7"/>
  <c r="A73" i="7"/>
  <c r="F72" i="7"/>
  <c r="E72" i="7"/>
  <c r="D72" i="7"/>
  <c r="C72" i="7"/>
  <c r="A72" i="7"/>
  <c r="F71" i="7"/>
  <c r="F70" i="7" s="1"/>
  <c r="D71" i="7"/>
  <c r="C71" i="7"/>
  <c r="A71" i="7"/>
  <c r="A70" i="7"/>
  <c r="F68" i="7"/>
  <c r="D68" i="7"/>
  <c r="C68" i="7"/>
  <c r="A68" i="7"/>
  <c r="F67" i="7"/>
  <c r="D67" i="7"/>
  <c r="C67" i="7"/>
  <c r="A67" i="7"/>
  <c r="A66" i="7"/>
  <c r="F64" i="7"/>
  <c r="E64" i="7"/>
  <c r="D64" i="7"/>
  <c r="C64" i="7"/>
  <c r="A64" i="7"/>
  <c r="F63" i="7"/>
  <c r="E63" i="7"/>
  <c r="D63" i="7"/>
  <c r="C63" i="7"/>
  <c r="A63" i="7"/>
  <c r="A62" i="7"/>
  <c r="F60" i="7"/>
  <c r="E60" i="7"/>
  <c r="D60" i="7"/>
  <c r="C60" i="7"/>
  <c r="A60" i="7"/>
  <c r="F59" i="7"/>
  <c r="E59" i="7"/>
  <c r="D59" i="7"/>
  <c r="C59" i="7"/>
  <c r="A59" i="7"/>
  <c r="F58" i="7"/>
  <c r="E58" i="7"/>
  <c r="D58" i="7"/>
  <c r="C58" i="7"/>
  <c r="A58" i="7"/>
  <c r="A57" i="7"/>
  <c r="F55" i="7"/>
  <c r="D55" i="7"/>
  <c r="C55" i="7"/>
  <c r="A55" i="7"/>
  <c r="F54" i="7"/>
  <c r="E54" i="7"/>
  <c r="D54" i="7"/>
  <c r="C54" i="7"/>
  <c r="A54" i="7"/>
  <c r="F53" i="7"/>
  <c r="D53" i="7"/>
  <c r="C53" i="7"/>
  <c r="A53" i="7"/>
  <c r="A52" i="7"/>
  <c r="F50" i="7"/>
  <c r="D50" i="7"/>
  <c r="C50" i="7"/>
  <c r="A50" i="7"/>
  <c r="F49" i="7"/>
  <c r="E49" i="7"/>
  <c r="D49" i="7"/>
  <c r="C49" i="7"/>
  <c r="A49" i="7"/>
  <c r="F48" i="7"/>
  <c r="D48" i="7"/>
  <c r="C48" i="7"/>
  <c r="A48" i="7"/>
  <c r="F47" i="7"/>
  <c r="E47" i="7"/>
  <c r="D47" i="7"/>
  <c r="C47" i="7"/>
  <c r="A47" i="7"/>
  <c r="A46" i="7"/>
  <c r="F44" i="7"/>
  <c r="E44" i="7"/>
  <c r="D44" i="7"/>
  <c r="C44" i="7"/>
  <c r="A44" i="7"/>
  <c r="F43" i="7"/>
  <c r="E43" i="7"/>
  <c r="D43" i="7"/>
  <c r="C43" i="7"/>
  <c r="A43" i="7"/>
  <c r="F42" i="7"/>
  <c r="E42" i="7"/>
  <c r="D42" i="7"/>
  <c r="C42" i="7"/>
  <c r="A42" i="7"/>
  <c r="F41" i="7"/>
  <c r="D41" i="7"/>
  <c r="C41" i="7"/>
  <c r="A41" i="7"/>
  <c r="F40" i="7"/>
  <c r="D40" i="7"/>
  <c r="C40" i="7"/>
  <c r="A40" i="7"/>
  <c r="F39" i="7"/>
  <c r="E39" i="7"/>
  <c r="D39" i="7"/>
  <c r="C39" i="7"/>
  <c r="A39" i="7"/>
  <c r="A38" i="7"/>
  <c r="F36" i="7"/>
  <c r="D36" i="7"/>
  <c r="C36" i="7"/>
  <c r="A36" i="7"/>
  <c r="F35" i="7"/>
  <c r="D35" i="7"/>
  <c r="C35" i="7"/>
  <c r="A35" i="7"/>
  <c r="F34" i="7"/>
  <c r="D34" i="7"/>
  <c r="C34" i="7"/>
  <c r="A34" i="7"/>
  <c r="F33" i="7"/>
  <c r="D33" i="7"/>
  <c r="C33" i="7"/>
  <c r="A33" i="7"/>
  <c r="F32" i="7"/>
  <c r="E32" i="7"/>
  <c r="D32" i="7"/>
  <c r="C32" i="7"/>
  <c r="A32" i="7"/>
  <c r="F29" i="7"/>
  <c r="F28" i="7" s="1"/>
  <c r="E29" i="7"/>
  <c r="E28" i="7" s="1"/>
  <c r="D29" i="7"/>
  <c r="L29" i="7" s="1"/>
  <c r="C29" i="7"/>
  <c r="A29" i="7"/>
  <c r="I28" i="7"/>
  <c r="G28" i="7"/>
  <c r="F26" i="7"/>
  <c r="E26" i="7"/>
  <c r="D26" i="7"/>
  <c r="L26" i="7" s="1"/>
  <c r="C26" i="7"/>
  <c r="A26" i="7"/>
  <c r="F25" i="7"/>
  <c r="E25" i="7"/>
  <c r="D25" i="7"/>
  <c r="L25" i="7" s="1"/>
  <c r="C25" i="7"/>
  <c r="A25" i="7"/>
  <c r="L22" i="7"/>
  <c r="A22" i="7"/>
  <c r="L21" i="7"/>
  <c r="A21" i="7"/>
  <c r="L20" i="7"/>
  <c r="A20" i="7"/>
  <c r="J19" i="7"/>
  <c r="F19" i="7"/>
  <c r="E19" i="7"/>
  <c r="H19" i="7" s="1"/>
  <c r="M18" i="7"/>
  <c r="L18" i="7"/>
  <c r="E18" i="7"/>
  <c r="M17" i="7"/>
  <c r="L17" i="7"/>
  <c r="E17" i="7"/>
  <c r="M16" i="7"/>
  <c r="L16" i="7"/>
  <c r="E16" i="7"/>
  <c r="F15" i="7"/>
  <c r="E15" i="7"/>
  <c r="H15" i="7" s="1"/>
  <c r="M14" i="7"/>
  <c r="L14" i="7"/>
  <c r="M13" i="7"/>
  <c r="L13" i="7"/>
  <c r="M12" i="7"/>
  <c r="L12" i="7"/>
  <c r="F11" i="7"/>
  <c r="E11" i="7"/>
  <c r="J11" i="7" s="1"/>
  <c r="M10" i="7"/>
  <c r="L10" i="7"/>
  <c r="V9" i="7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31" i="7" s="1"/>
  <c r="M9" i="7"/>
  <c r="L9" i="7"/>
  <c r="V8" i="7"/>
  <c r="M8" i="7"/>
  <c r="L8" i="7"/>
  <c r="V7" i="7"/>
  <c r="H7" i="7"/>
  <c r="F7" i="7"/>
  <c r="E7" i="7"/>
  <c r="J7" i="7" s="1"/>
  <c r="L157" i="6"/>
  <c r="L156" i="6"/>
  <c r="L155" i="6"/>
  <c r="L154" i="6"/>
  <c r="I153" i="6"/>
  <c r="J153" i="6" s="1"/>
  <c r="H153" i="6"/>
  <c r="F153" i="6"/>
  <c r="E153" i="6"/>
  <c r="L151" i="6"/>
  <c r="I150" i="6"/>
  <c r="F150" i="6"/>
  <c r="E150" i="6"/>
  <c r="H150" i="6" s="1"/>
  <c r="L148" i="6"/>
  <c r="I147" i="6"/>
  <c r="F147" i="6"/>
  <c r="E147" i="6"/>
  <c r="L145" i="6"/>
  <c r="L144" i="6"/>
  <c r="L143" i="6"/>
  <c r="I142" i="6"/>
  <c r="F142" i="6"/>
  <c r="E142" i="6"/>
  <c r="H142" i="6" s="1"/>
  <c r="L140" i="6"/>
  <c r="L139" i="6"/>
  <c r="L138" i="6"/>
  <c r="I137" i="6"/>
  <c r="F137" i="6"/>
  <c r="E137" i="6"/>
  <c r="J137" i="6" s="1"/>
  <c r="L135" i="6"/>
  <c r="L134" i="6"/>
  <c r="L133" i="6"/>
  <c r="L132" i="6"/>
  <c r="L131" i="6"/>
  <c r="L130" i="6"/>
  <c r="L129" i="6"/>
  <c r="I128" i="6"/>
  <c r="F128" i="6"/>
  <c r="E128" i="6"/>
  <c r="J128" i="6" s="1"/>
  <c r="L126" i="6"/>
  <c r="L125" i="6"/>
  <c r="L124" i="6"/>
  <c r="L123" i="6"/>
  <c r="L122" i="6"/>
  <c r="L121" i="6"/>
  <c r="L120" i="6"/>
  <c r="L119" i="6"/>
  <c r="L118" i="6"/>
  <c r="I117" i="6"/>
  <c r="F117" i="6"/>
  <c r="E117" i="6"/>
  <c r="L115" i="6"/>
  <c r="L114" i="6"/>
  <c r="L113" i="6"/>
  <c r="L112" i="6"/>
  <c r="L111" i="6"/>
  <c r="L110" i="6"/>
  <c r="L109" i="6"/>
  <c r="L108" i="6"/>
  <c r="L107" i="6"/>
  <c r="L106" i="6"/>
  <c r="I105" i="6"/>
  <c r="F105" i="6"/>
  <c r="E105" i="6"/>
  <c r="H105" i="6" s="1"/>
  <c r="L103" i="6"/>
  <c r="L102" i="6"/>
  <c r="L101" i="6"/>
  <c r="L100" i="6"/>
  <c r="L99" i="6"/>
  <c r="L98" i="6"/>
  <c r="L97" i="6"/>
  <c r="L96" i="6"/>
  <c r="L95" i="6"/>
  <c r="I94" i="6"/>
  <c r="F94" i="6"/>
  <c r="E94" i="6"/>
  <c r="H94" i="6" s="1"/>
  <c r="L92" i="6"/>
  <c r="L91" i="6"/>
  <c r="E91" i="6"/>
  <c r="E90" i="7" s="1"/>
  <c r="L90" i="6"/>
  <c r="E90" i="6"/>
  <c r="E89" i="7" s="1"/>
  <c r="L89" i="6"/>
  <c r="E89" i="6"/>
  <c r="E88" i="7" s="1"/>
  <c r="L88" i="6"/>
  <c r="L87" i="6"/>
  <c r="F86" i="6"/>
  <c r="L84" i="6"/>
  <c r="L83" i="6"/>
  <c r="L82" i="6"/>
  <c r="L81" i="6"/>
  <c r="F80" i="6"/>
  <c r="E80" i="6"/>
  <c r="H80" i="6" s="1"/>
  <c r="L78" i="6"/>
  <c r="E78" i="6"/>
  <c r="E77" i="7" s="1"/>
  <c r="L77" i="6"/>
  <c r="E77" i="6"/>
  <c r="E76" i="7" s="1"/>
  <c r="F76" i="6"/>
  <c r="L74" i="6"/>
  <c r="L73" i="6"/>
  <c r="L72" i="6"/>
  <c r="E72" i="6"/>
  <c r="E71" i="7" s="1"/>
  <c r="F71" i="6"/>
  <c r="L69" i="6"/>
  <c r="E69" i="6"/>
  <c r="E68" i="7" s="1"/>
  <c r="L68" i="6"/>
  <c r="E68" i="6"/>
  <c r="E67" i="7" s="1"/>
  <c r="F67" i="6"/>
  <c r="L65" i="6"/>
  <c r="L64" i="6"/>
  <c r="F63" i="6"/>
  <c r="E63" i="6"/>
  <c r="L61" i="6"/>
  <c r="L60" i="6"/>
  <c r="L59" i="6"/>
  <c r="F58" i="6"/>
  <c r="E58" i="6"/>
  <c r="L56" i="6"/>
  <c r="E56" i="6"/>
  <c r="E55" i="7" s="1"/>
  <c r="L55" i="6"/>
  <c r="L54" i="6"/>
  <c r="E54" i="6"/>
  <c r="E53" i="7" s="1"/>
  <c r="F53" i="6"/>
  <c r="L51" i="6"/>
  <c r="E51" i="6"/>
  <c r="E50" i="7" s="1"/>
  <c r="L50" i="6"/>
  <c r="L49" i="6"/>
  <c r="E49" i="6"/>
  <c r="L48" i="6"/>
  <c r="F47" i="6"/>
  <c r="L45" i="6"/>
  <c r="L44" i="6"/>
  <c r="L43" i="6"/>
  <c r="L42" i="6"/>
  <c r="E42" i="6"/>
  <c r="E41" i="7" s="1"/>
  <c r="L41" i="6"/>
  <c r="E41" i="6"/>
  <c r="E40" i="7" s="1"/>
  <c r="L40" i="6"/>
  <c r="F39" i="6"/>
  <c r="L37" i="6"/>
  <c r="E37" i="6"/>
  <c r="E36" i="7" s="1"/>
  <c r="L36" i="6"/>
  <c r="E36" i="6"/>
  <c r="L35" i="6"/>
  <c r="E35" i="6"/>
  <c r="E34" i="7" s="1"/>
  <c r="L34" i="6"/>
  <c r="E34" i="6"/>
  <c r="E33" i="7" s="1"/>
  <c r="L33" i="6"/>
  <c r="F32" i="6"/>
  <c r="L30" i="6"/>
  <c r="F29" i="6"/>
  <c r="E29" i="6"/>
  <c r="J29" i="6" s="1"/>
  <c r="J28" i="7" s="1"/>
  <c r="L27" i="6"/>
  <c r="L26" i="6"/>
  <c r="F25" i="6"/>
  <c r="E25" i="6"/>
  <c r="L23" i="6"/>
  <c r="L22" i="6"/>
  <c r="L21" i="6"/>
  <c r="F20" i="6"/>
  <c r="E20" i="6"/>
  <c r="J20" i="6" s="1"/>
  <c r="E19" i="6"/>
  <c r="E18" i="6"/>
  <c r="E17" i="6"/>
  <c r="F16" i="6"/>
  <c r="F12" i="6"/>
  <c r="E12" i="6"/>
  <c r="H12" i="6" s="1"/>
  <c r="O9" i="6"/>
  <c r="V8" i="6"/>
  <c r="AA8" i="6" s="1"/>
  <c r="E8" i="6"/>
  <c r="J8" i="6" s="1"/>
  <c r="V7" i="6"/>
  <c r="F66" i="7" l="1"/>
  <c r="H11" i="7"/>
  <c r="J150" i="6"/>
  <c r="F164" i="6"/>
  <c r="J25" i="6"/>
  <c r="AA8" i="7"/>
  <c r="F85" i="7"/>
  <c r="F57" i="7"/>
  <c r="F46" i="7"/>
  <c r="F31" i="7"/>
  <c r="E24" i="7"/>
  <c r="J24" i="7" s="1"/>
  <c r="F24" i="7"/>
  <c r="E62" i="7"/>
  <c r="H62" i="7" s="1"/>
  <c r="H137" i="6"/>
  <c r="J94" i="6"/>
  <c r="J105" i="6"/>
  <c r="E104" i="7"/>
  <c r="H104" i="7" s="1"/>
  <c r="E127" i="7"/>
  <c r="J127" i="7" s="1"/>
  <c r="F136" i="7"/>
  <c r="R8" i="6"/>
  <c r="R8" i="7" s="1"/>
  <c r="H8" i="6"/>
  <c r="E16" i="6"/>
  <c r="F75" i="7"/>
  <c r="T8" i="6"/>
  <c r="T8" i="7" s="1"/>
  <c r="S8" i="6"/>
  <c r="S8" i="7" s="1"/>
  <c r="S7" i="6"/>
  <c r="T7" i="6"/>
  <c r="T7" i="7" s="1"/>
  <c r="J80" i="6"/>
  <c r="F62" i="7"/>
  <c r="P8" i="6"/>
  <c r="P8" i="7" s="1"/>
  <c r="J142" i="6"/>
  <c r="J146" i="7"/>
  <c r="H146" i="7"/>
  <c r="E136" i="7"/>
  <c r="J136" i="7" s="1"/>
  <c r="F93" i="7"/>
  <c r="F127" i="7"/>
  <c r="F116" i="7"/>
  <c r="V9" i="6"/>
  <c r="T9" i="6"/>
  <c r="T9" i="7" s="1"/>
  <c r="S9" i="6"/>
  <c r="S9" i="7" s="1"/>
  <c r="F38" i="7"/>
  <c r="E152" i="7"/>
  <c r="J152" i="7" s="1"/>
  <c r="Y8" i="6"/>
  <c r="AB8" i="6" s="1"/>
  <c r="AB8" i="7" s="1"/>
  <c r="E70" i="7"/>
  <c r="J70" i="7" s="1"/>
  <c r="Z7" i="6"/>
  <c r="W7" i="6"/>
  <c r="Y7" i="6"/>
  <c r="E79" i="7"/>
  <c r="E141" i="7"/>
  <c r="H141" i="7" s="1"/>
  <c r="F152" i="7"/>
  <c r="E116" i="7"/>
  <c r="J116" i="7" s="1"/>
  <c r="F79" i="7"/>
  <c r="F141" i="7"/>
  <c r="E57" i="7"/>
  <c r="H57" i="7" s="1"/>
  <c r="AA7" i="7"/>
  <c r="E75" i="7"/>
  <c r="F104" i="7"/>
  <c r="F52" i="7"/>
  <c r="J149" i="7"/>
  <c r="S10" i="6"/>
  <c r="S10" i="7" s="1"/>
  <c r="T10" i="6"/>
  <c r="T10" i="7" s="1"/>
  <c r="J16" i="6"/>
  <c r="H16" i="6"/>
  <c r="AA9" i="6"/>
  <c r="AA9" i="7" s="1"/>
  <c r="Z9" i="6"/>
  <c r="Z9" i="7" s="1"/>
  <c r="Y9" i="6"/>
  <c r="W9" i="6"/>
  <c r="W9" i="7" s="1"/>
  <c r="E47" i="6"/>
  <c r="E48" i="7"/>
  <c r="E46" i="7" s="1"/>
  <c r="H20" i="6"/>
  <c r="E52" i="7"/>
  <c r="E85" i="7"/>
  <c r="P9" i="6"/>
  <c r="P9" i="7" s="1"/>
  <c r="R9" i="6"/>
  <c r="P7" i="6"/>
  <c r="W8" i="6"/>
  <c r="W8" i="7" s="1"/>
  <c r="J58" i="6"/>
  <c r="H58" i="6"/>
  <c r="J147" i="6"/>
  <c r="H147" i="6"/>
  <c r="H149" i="7"/>
  <c r="J117" i="6"/>
  <c r="H117" i="6"/>
  <c r="O11" i="6"/>
  <c r="R10" i="6"/>
  <c r="Z8" i="6"/>
  <c r="Z8" i="7" s="1"/>
  <c r="P10" i="6"/>
  <c r="P10" i="7" s="1"/>
  <c r="R7" i="6"/>
  <c r="J12" i="6"/>
  <c r="E38" i="7"/>
  <c r="E93" i="7"/>
  <c r="E32" i="6"/>
  <c r="E35" i="7"/>
  <c r="E31" i="7" s="1"/>
  <c r="J63" i="6"/>
  <c r="H63" i="6"/>
  <c r="E66" i="7"/>
  <c r="H25" i="6"/>
  <c r="H29" i="6"/>
  <c r="H28" i="7" s="1"/>
  <c r="E39" i="6"/>
  <c r="E53" i="6"/>
  <c r="E67" i="6"/>
  <c r="E71" i="6"/>
  <c r="J15" i="7"/>
  <c r="E76" i="6"/>
  <c r="E86" i="6"/>
  <c r="H128" i="6"/>
  <c r="H136" i="7" l="1"/>
  <c r="J62" i="7"/>
  <c r="J104" i="7"/>
  <c r="H127" i="7"/>
  <c r="E164" i="6"/>
  <c r="H70" i="7"/>
  <c r="H24" i="7"/>
  <c r="Z7" i="7"/>
  <c r="W7" i="7"/>
  <c r="Q8" i="6"/>
  <c r="Q8" i="7" s="1"/>
  <c r="P7" i="7"/>
  <c r="S7" i="7"/>
  <c r="H116" i="7"/>
  <c r="J141" i="7"/>
  <c r="AB7" i="6"/>
  <c r="AB7" i="7" s="1"/>
  <c r="J79" i="7"/>
  <c r="H79" i="7"/>
  <c r="J57" i="7"/>
  <c r="H152" i="7"/>
  <c r="Y7" i="7"/>
  <c r="X7" i="6"/>
  <c r="Y8" i="7"/>
  <c r="X8" i="6"/>
  <c r="X8" i="7" s="1"/>
  <c r="Q7" i="6"/>
  <c r="T11" i="6"/>
  <c r="T11" i="7" s="1"/>
  <c r="S11" i="6"/>
  <c r="J31" i="7"/>
  <c r="H31" i="7"/>
  <c r="Y9" i="7"/>
  <c r="X9" i="6"/>
  <c r="X9" i="7" s="1"/>
  <c r="AB9" i="6"/>
  <c r="AB9" i="7" s="1"/>
  <c r="J53" i="6"/>
  <c r="H53" i="6"/>
  <c r="Q10" i="6"/>
  <c r="Q10" i="7" s="1"/>
  <c r="R10" i="7"/>
  <c r="J93" i="7"/>
  <c r="H93" i="7"/>
  <c r="J66" i="7"/>
  <c r="H66" i="7"/>
  <c r="J46" i="7"/>
  <c r="H46" i="7"/>
  <c r="R11" i="6"/>
  <c r="O12" i="6"/>
  <c r="P11" i="6"/>
  <c r="P11" i="7" s="1"/>
  <c r="J85" i="7"/>
  <c r="H85" i="7"/>
  <c r="J52" i="7"/>
  <c r="H52" i="7"/>
  <c r="R7" i="7"/>
  <c r="J86" i="6"/>
  <c r="H86" i="6"/>
  <c r="H38" i="7"/>
  <c r="J38" i="7"/>
  <c r="J71" i="6"/>
  <c r="H71" i="6"/>
  <c r="J67" i="6"/>
  <c r="H67" i="6"/>
  <c r="J39" i="6"/>
  <c r="H39" i="6"/>
  <c r="H32" i="6"/>
  <c r="J32" i="6"/>
  <c r="R9" i="7"/>
  <c r="Q9" i="6"/>
  <c r="Q9" i="7" s="1"/>
  <c r="J47" i="6"/>
  <c r="H47" i="6"/>
  <c r="Q7" i="7" l="1"/>
  <c r="X7" i="7"/>
  <c r="T12" i="6"/>
  <c r="T12" i="7" s="1"/>
  <c r="S12" i="6"/>
  <c r="S12" i="7" s="1"/>
  <c r="AA10" i="6"/>
  <c r="Z10" i="6"/>
  <c r="Y10" i="6"/>
  <c r="V11" i="6"/>
  <c r="W10" i="6"/>
  <c r="S11" i="7"/>
  <c r="P12" i="6"/>
  <c r="P12" i="7" s="1"/>
  <c r="R12" i="6"/>
  <c r="O13" i="6"/>
  <c r="R11" i="7"/>
  <c r="Q11" i="6"/>
  <c r="Q11" i="7" s="1"/>
  <c r="Z10" i="7" l="1"/>
  <c r="W10" i="7"/>
  <c r="AB10" i="6"/>
  <c r="AB10" i="7" s="1"/>
  <c r="Q12" i="6"/>
  <c r="Q12" i="7" s="1"/>
  <c r="T13" i="6"/>
  <c r="T13" i="7" s="1"/>
  <c r="S13" i="6"/>
  <c r="S13" i="7" s="1"/>
  <c r="AA11" i="6"/>
  <c r="AA11" i="7" s="1"/>
  <c r="W11" i="6"/>
  <c r="W11" i="7" s="1"/>
  <c r="Y11" i="6"/>
  <c r="V12" i="6"/>
  <c r="Z11" i="6"/>
  <c r="Z11" i="7" s="1"/>
  <c r="Y10" i="7"/>
  <c r="X10" i="6"/>
  <c r="O14" i="6"/>
  <c r="P14" i="6" s="1"/>
  <c r="R13" i="6"/>
  <c r="P13" i="6"/>
  <c r="P13" i="7" s="1"/>
  <c r="R12" i="7"/>
  <c r="AA10" i="7"/>
  <c r="X10" i="7" l="1"/>
  <c r="S14" i="6"/>
  <c r="T14" i="6"/>
  <c r="T14" i="7" s="1"/>
  <c r="O15" i="6"/>
  <c r="R14" i="6"/>
  <c r="P14" i="7"/>
  <c r="R13" i="7"/>
  <c r="Q13" i="6"/>
  <c r="Q13" i="7" s="1"/>
  <c r="V13" i="6"/>
  <c r="Y12" i="6"/>
  <c r="W12" i="6"/>
  <c r="W12" i="7" s="1"/>
  <c r="AA12" i="6"/>
  <c r="AA12" i="7" s="1"/>
  <c r="Z12" i="6"/>
  <c r="Z12" i="7" s="1"/>
  <c r="AB11" i="6"/>
  <c r="AB11" i="7" s="1"/>
  <c r="X11" i="6"/>
  <c r="Y11" i="7"/>
  <c r="S15" i="6" l="1"/>
  <c r="S15" i="7" s="1"/>
  <c r="T15" i="6"/>
  <c r="T15" i="7" s="1"/>
  <c r="R14" i="7"/>
  <c r="Q14" i="6"/>
  <c r="S14" i="7"/>
  <c r="X11" i="7"/>
  <c r="R15" i="6"/>
  <c r="P15" i="6"/>
  <c r="O16" i="6"/>
  <c r="X12" i="6"/>
  <c r="X12" i="7" s="1"/>
  <c r="AB12" i="6"/>
  <c r="AB12" i="7" s="1"/>
  <c r="Y12" i="7"/>
  <c r="AA13" i="6"/>
  <c r="AA13" i="7" s="1"/>
  <c r="Z13" i="6"/>
  <c r="Z13" i="7" s="1"/>
  <c r="Y13" i="6"/>
  <c r="W13" i="6"/>
  <c r="W13" i="7" s="1"/>
  <c r="V14" i="6"/>
  <c r="P15" i="7" l="1"/>
  <c r="S16" i="6"/>
  <c r="S16" i="7" s="1"/>
  <c r="T16" i="6"/>
  <c r="T16" i="7" s="1"/>
  <c r="R15" i="7"/>
  <c r="Q15" i="6"/>
  <c r="P16" i="6"/>
  <c r="P16" i="7" s="1"/>
  <c r="R16" i="6"/>
  <c r="O17" i="6"/>
  <c r="Q14" i="7"/>
  <c r="AA14" i="6"/>
  <c r="W14" i="6"/>
  <c r="W14" i="7" s="1"/>
  <c r="Z14" i="6"/>
  <c r="Z14" i="7" s="1"/>
  <c r="Y14" i="6"/>
  <c r="V15" i="6"/>
  <c r="Y13" i="7"/>
  <c r="AB13" i="6"/>
  <c r="AB13" i="7" s="1"/>
  <c r="X13" i="6"/>
  <c r="Q15" i="7" l="1"/>
  <c r="S17" i="6"/>
  <c r="S17" i="7" s="1"/>
  <c r="T17" i="6"/>
  <c r="T17" i="7" s="1"/>
  <c r="AA14" i="7"/>
  <c r="O18" i="6"/>
  <c r="R17" i="6"/>
  <c r="P17" i="6"/>
  <c r="P17" i="7" s="1"/>
  <c r="X13" i="7"/>
  <c r="Q16" i="6"/>
  <c r="R16" i="7"/>
  <c r="AA15" i="6"/>
  <c r="AA15" i="7" s="1"/>
  <c r="Z15" i="7"/>
  <c r="Y15" i="6"/>
  <c r="W15" i="6"/>
  <c r="W15" i="7" s="1"/>
  <c r="V16" i="6"/>
  <c r="Y14" i="7"/>
  <c r="AB14" i="6"/>
  <c r="AB14" i="7" s="1"/>
  <c r="X14" i="6"/>
  <c r="X14" i="7" s="1"/>
  <c r="S18" i="6" l="1"/>
  <c r="S18" i="7" s="1"/>
  <c r="T18" i="6"/>
  <c r="T18" i="7" s="1"/>
  <c r="R17" i="7"/>
  <c r="Q17" i="6"/>
  <c r="Q17" i="7" s="1"/>
  <c r="Q16" i="7"/>
  <c r="R18" i="6"/>
  <c r="O19" i="6"/>
  <c r="P18" i="6"/>
  <c r="P18" i="7" s="1"/>
  <c r="V17" i="6"/>
  <c r="AA16" i="6"/>
  <c r="AA16" i="7" s="1"/>
  <c r="Z16" i="6"/>
  <c r="Z16" i="7" s="1"/>
  <c r="Y16" i="6"/>
  <c r="W16" i="6"/>
  <c r="W16" i="7" s="1"/>
  <c r="AB15" i="6"/>
  <c r="AB15" i="7" s="1"/>
  <c r="Y15" i="7"/>
  <c r="X15" i="6"/>
  <c r="X15" i="7" s="1"/>
  <c r="S19" i="6" l="1"/>
  <c r="S19" i="7" s="1"/>
  <c r="T19" i="6"/>
  <c r="T19" i="7" s="1"/>
  <c r="V18" i="6"/>
  <c r="Y17" i="6"/>
  <c r="AA17" i="6"/>
  <c r="AA17" i="7" s="1"/>
  <c r="Z17" i="6"/>
  <c r="Z17" i="7" s="1"/>
  <c r="W17" i="6"/>
  <c r="W17" i="7" s="1"/>
  <c r="R19" i="6"/>
  <c r="O20" i="6"/>
  <c r="P19" i="6"/>
  <c r="P19" i="7" s="1"/>
  <c r="Q18" i="6"/>
  <c r="Q18" i="7" s="1"/>
  <c r="R18" i="7"/>
  <c r="Y16" i="7"/>
  <c r="X16" i="6"/>
  <c r="X16" i="7" s="1"/>
  <c r="AB16" i="6"/>
  <c r="AB16" i="7" s="1"/>
  <c r="S20" i="6" l="1"/>
  <c r="S20" i="7" s="1"/>
  <c r="T20" i="6"/>
  <c r="T20" i="7" s="1"/>
  <c r="R19" i="7"/>
  <c r="Q19" i="6"/>
  <c r="Q19" i="7" s="1"/>
  <c r="R20" i="6"/>
  <c r="P20" i="6"/>
  <c r="P20" i="7" s="1"/>
  <c r="O21" i="6"/>
  <c r="X17" i="6"/>
  <c r="X17" i="7" s="1"/>
  <c r="Y17" i="7"/>
  <c r="AB17" i="6"/>
  <c r="AB17" i="7" s="1"/>
  <c r="AA18" i="6"/>
  <c r="AA18" i="7" s="1"/>
  <c r="V19" i="6"/>
  <c r="W18" i="6"/>
  <c r="W18" i="7" s="1"/>
  <c r="Z18" i="6"/>
  <c r="Z18" i="7" s="1"/>
  <c r="Y18" i="6"/>
  <c r="S21" i="6" l="1"/>
  <c r="S21" i="7" s="1"/>
  <c r="T21" i="6"/>
  <c r="T21" i="7" s="1"/>
  <c r="AA19" i="6"/>
  <c r="AA19" i="7" s="1"/>
  <c r="Z19" i="6"/>
  <c r="Z19" i="7" s="1"/>
  <c r="Y19" i="6"/>
  <c r="V20" i="6"/>
  <c r="W19" i="6"/>
  <c r="W19" i="7" s="1"/>
  <c r="O22" i="6"/>
  <c r="R21" i="6"/>
  <c r="P21" i="6"/>
  <c r="P21" i="7" s="1"/>
  <c r="Y18" i="7"/>
  <c r="AB18" i="6"/>
  <c r="AB18" i="7" s="1"/>
  <c r="X18" i="6"/>
  <c r="X18" i="7" s="1"/>
  <c r="R20" i="7"/>
  <c r="Q20" i="6"/>
  <c r="Q20" i="7" s="1"/>
  <c r="T22" i="6" l="1"/>
  <c r="T22" i="7" s="1"/>
  <c r="S22" i="6"/>
  <c r="S22" i="7" s="1"/>
  <c r="R21" i="7"/>
  <c r="Q21" i="6"/>
  <c r="Q21" i="7" s="1"/>
  <c r="R22" i="6"/>
  <c r="O23" i="6"/>
  <c r="P22" i="6"/>
  <c r="P22" i="7" s="1"/>
  <c r="V21" i="6"/>
  <c r="AA20" i="6"/>
  <c r="AA20" i="7" s="1"/>
  <c r="Z20" i="6"/>
  <c r="Z20" i="7" s="1"/>
  <c r="Y20" i="6"/>
  <c r="W20" i="6"/>
  <c r="W20" i="7" s="1"/>
  <c r="Y19" i="7"/>
  <c r="AB19" i="6"/>
  <c r="AB19" i="7" s="1"/>
  <c r="X19" i="6"/>
  <c r="X19" i="7" s="1"/>
  <c r="T23" i="6" l="1"/>
  <c r="T23" i="7" s="1"/>
  <c r="S23" i="6"/>
  <c r="S23" i="7" s="1"/>
  <c r="AB20" i="6"/>
  <c r="AB20" i="7" s="1"/>
  <c r="Y20" i="7"/>
  <c r="X20" i="6"/>
  <c r="X20" i="7" s="1"/>
  <c r="V22" i="6"/>
  <c r="Y21" i="6"/>
  <c r="AA21" i="6"/>
  <c r="AA21" i="7" s="1"/>
  <c r="Z21" i="6"/>
  <c r="Z21" i="7" s="1"/>
  <c r="W21" i="6"/>
  <c r="W21" i="7" s="1"/>
  <c r="Q22" i="6"/>
  <c r="Q22" i="7" s="1"/>
  <c r="R22" i="7"/>
  <c r="R23" i="6"/>
  <c r="P23" i="6"/>
  <c r="P23" i="7" s="1"/>
  <c r="O24" i="6"/>
  <c r="T24" i="6" l="1"/>
  <c r="T24" i="7" s="1"/>
  <c r="S24" i="6"/>
  <c r="S24" i="7" s="1"/>
  <c r="R23" i="7"/>
  <c r="Q23" i="6"/>
  <c r="Q23" i="7" s="1"/>
  <c r="Y21" i="7"/>
  <c r="X21" i="6"/>
  <c r="X21" i="7" s="1"/>
  <c r="AB21" i="6"/>
  <c r="AB21" i="7" s="1"/>
  <c r="AA22" i="6"/>
  <c r="AA22" i="7" s="1"/>
  <c r="V23" i="6"/>
  <c r="W22" i="6"/>
  <c r="W22" i="7" s="1"/>
  <c r="Z22" i="6"/>
  <c r="Z22" i="7" s="1"/>
  <c r="Y22" i="6"/>
  <c r="O25" i="6"/>
  <c r="R24" i="6"/>
  <c r="P24" i="6"/>
  <c r="P24" i="7" s="1"/>
  <c r="S25" i="6" l="1"/>
  <c r="S25" i="7" s="1"/>
  <c r="T25" i="6"/>
  <c r="T25" i="7" s="1"/>
  <c r="Y22" i="7"/>
  <c r="AB22" i="6"/>
  <c r="AB22" i="7" s="1"/>
  <c r="X22" i="6"/>
  <c r="X22" i="7" s="1"/>
  <c r="V24" i="6"/>
  <c r="AA23" i="6"/>
  <c r="AA23" i="7" s="1"/>
  <c r="Z23" i="6"/>
  <c r="Z23" i="7" s="1"/>
  <c r="Y23" i="6"/>
  <c r="W23" i="6"/>
  <c r="W23" i="7" s="1"/>
  <c r="R24" i="7"/>
  <c r="Q24" i="6"/>
  <c r="Q24" i="7" s="1"/>
  <c r="O26" i="6"/>
  <c r="R25" i="6"/>
  <c r="P25" i="6"/>
  <c r="P25" i="7" s="1"/>
  <c r="T26" i="6" l="1"/>
  <c r="T26" i="7" s="1"/>
  <c r="S26" i="6"/>
  <c r="S26" i="7" s="1"/>
  <c r="Z24" i="6"/>
  <c r="Z24" i="7" s="1"/>
  <c r="V25" i="6"/>
  <c r="Y24" i="6"/>
  <c r="W24" i="6"/>
  <c r="W24" i="7" s="1"/>
  <c r="AA24" i="6"/>
  <c r="AA24" i="7" s="1"/>
  <c r="R26" i="6"/>
  <c r="P26" i="6"/>
  <c r="P26" i="7" s="1"/>
  <c r="O27" i="6"/>
  <c r="AB23" i="6"/>
  <c r="AB23" i="7" s="1"/>
  <c r="Y23" i="7"/>
  <c r="X23" i="6"/>
  <c r="X23" i="7" s="1"/>
  <c r="R25" i="7"/>
  <c r="Q25" i="6"/>
  <c r="Q25" i="7" s="1"/>
  <c r="S27" i="6" l="1"/>
  <c r="S27" i="7" s="1"/>
  <c r="T27" i="6"/>
  <c r="T27" i="7" s="1"/>
  <c r="O28" i="6"/>
  <c r="P27" i="6"/>
  <c r="P27" i="7" s="1"/>
  <c r="R27" i="6"/>
  <c r="R26" i="7"/>
  <c r="Q26" i="6"/>
  <c r="Q26" i="7" s="1"/>
  <c r="X24" i="6"/>
  <c r="X24" i="7" s="1"/>
  <c r="Y24" i="7"/>
  <c r="AB24" i="6"/>
  <c r="AB24" i="7" s="1"/>
  <c r="W25" i="6"/>
  <c r="W25" i="7" s="1"/>
  <c r="Y25" i="6"/>
  <c r="AA25" i="6"/>
  <c r="AA25" i="7" s="1"/>
  <c r="Z25" i="6"/>
  <c r="Z25" i="7" s="1"/>
  <c r="V26" i="6"/>
  <c r="S28" i="6" l="1"/>
  <c r="S28" i="7" s="1"/>
  <c r="T28" i="6"/>
  <c r="T28" i="7" s="1"/>
  <c r="AB25" i="6"/>
  <c r="AB25" i="7" s="1"/>
  <c r="Y25" i="7"/>
  <c r="X25" i="6"/>
  <c r="X25" i="7" s="1"/>
  <c r="R27" i="7"/>
  <c r="Q27" i="6"/>
  <c r="Q27" i="7" s="1"/>
  <c r="AA26" i="6"/>
  <c r="AA26" i="7" s="1"/>
  <c r="V27" i="6"/>
  <c r="Z26" i="6"/>
  <c r="Z26" i="7" s="1"/>
  <c r="Y26" i="6"/>
  <c r="W26" i="6"/>
  <c r="W26" i="7" s="1"/>
  <c r="O29" i="6"/>
  <c r="R28" i="6"/>
  <c r="P28" i="6"/>
  <c r="P28" i="7" s="1"/>
  <c r="S29" i="6" l="1"/>
  <c r="S29" i="7" s="1"/>
  <c r="T29" i="6"/>
  <c r="T29" i="7" s="1"/>
  <c r="AB26" i="6"/>
  <c r="AB26" i="7" s="1"/>
  <c r="Y26" i="7"/>
  <c r="X26" i="6"/>
  <c r="X26" i="7" s="1"/>
  <c r="R29" i="6"/>
  <c r="O30" i="6"/>
  <c r="P29" i="6"/>
  <c r="P29" i="7" s="1"/>
  <c r="AA27" i="6"/>
  <c r="AA27" i="7" s="1"/>
  <c r="V28" i="6"/>
  <c r="Z27" i="6"/>
  <c r="Z27" i="7" s="1"/>
  <c r="Y27" i="6"/>
  <c r="W27" i="6"/>
  <c r="W27" i="7" s="1"/>
  <c r="R28" i="7"/>
  <c r="Q28" i="6"/>
  <c r="Q28" i="7" s="1"/>
  <c r="T30" i="6" l="1"/>
  <c r="T30" i="7" s="1"/>
  <c r="S30" i="6"/>
  <c r="S30" i="7" s="1"/>
  <c r="Y27" i="7"/>
  <c r="X27" i="6"/>
  <c r="X27" i="7" s="1"/>
  <c r="AB27" i="6"/>
  <c r="AB27" i="7" s="1"/>
  <c r="W28" i="6"/>
  <c r="W28" i="7" s="1"/>
  <c r="Y28" i="6"/>
  <c r="Y28" i="7" s="1"/>
  <c r="Z28" i="6"/>
  <c r="Z28" i="7" s="1"/>
  <c r="AA28" i="6"/>
  <c r="AA28" i="7" s="1"/>
  <c r="V29" i="6"/>
  <c r="Q29" i="6"/>
  <c r="Q29" i="7" s="1"/>
  <c r="R29" i="7"/>
  <c r="P30" i="6"/>
  <c r="P30" i="7" s="1"/>
  <c r="O31" i="6"/>
  <c r="R30" i="6"/>
  <c r="S31" i="6" l="1"/>
  <c r="S32" i="6" s="1"/>
  <c r="T31" i="6"/>
  <c r="T32" i="6" s="1"/>
  <c r="AB28" i="6"/>
  <c r="AB28" i="7" s="1"/>
  <c r="X28" i="6"/>
  <c r="X28" i="7" s="1"/>
  <c r="R31" i="6"/>
  <c r="R32" i="6" s="1"/>
  <c r="R33" i="6" s="1"/>
  <c r="P31" i="6"/>
  <c r="P32" i="6" s="1"/>
  <c r="AA29" i="6"/>
  <c r="AA29" i="7" s="1"/>
  <c r="Z29" i="6"/>
  <c r="Z29" i="7" s="1"/>
  <c r="Y29" i="6"/>
  <c r="Y29" i="7" s="1"/>
  <c r="V30" i="6"/>
  <c r="W29" i="6"/>
  <c r="W29" i="7" s="1"/>
  <c r="R30" i="7"/>
  <c r="Q30" i="6"/>
  <c r="Q30" i="7" s="1"/>
  <c r="S33" i="6" l="1"/>
  <c r="AB29" i="6"/>
  <c r="AB29" i="7" s="1"/>
  <c r="X29" i="6"/>
  <c r="X29" i="7" s="1"/>
  <c r="Q31" i="6"/>
  <c r="Q32" i="6" s="1"/>
  <c r="P33" i="6" s="1"/>
  <c r="R31" i="7"/>
  <c r="R32" i="7" s="1"/>
  <c r="S31" i="7"/>
  <c r="S32" i="7" s="1"/>
  <c r="T31" i="7"/>
  <c r="T32" i="7" s="1"/>
  <c r="P31" i="7"/>
  <c r="P32" i="7" s="1"/>
  <c r="V31" i="6"/>
  <c r="AA30" i="6"/>
  <c r="AA30" i="7" s="1"/>
  <c r="Z30" i="6"/>
  <c r="Z30" i="7" s="1"/>
  <c r="Y30" i="6"/>
  <c r="Y30" i="7" s="1"/>
  <c r="W30" i="6"/>
  <c r="W30" i="7" s="1"/>
  <c r="W31" i="6" l="1"/>
  <c r="Y31" i="6"/>
  <c r="AA31" i="6"/>
  <c r="Z31" i="6"/>
  <c r="Q31" i="7"/>
  <c r="Q32" i="7" s="1"/>
  <c r="AB30" i="6"/>
  <c r="AB30" i="7" s="1"/>
  <c r="X30" i="6"/>
  <c r="X30" i="7" s="1"/>
  <c r="Y32" i="6" l="1"/>
  <c r="Y33" i="6" s="1"/>
  <c r="Y31" i="7"/>
  <c r="Y32" i="7" s="1"/>
  <c r="W32" i="6"/>
  <c r="W33" i="6" s="1"/>
  <c r="W31" i="7"/>
  <c r="W32" i="7" s="1"/>
  <c r="Z32" i="6"/>
  <c r="Z33" i="6" s="1"/>
  <c r="Z31" i="7"/>
  <c r="Z32" i="7" s="1"/>
  <c r="AA31" i="7"/>
  <c r="AA32" i="7" s="1"/>
  <c r="AA32" i="6"/>
  <c r="AB31" i="6"/>
  <c r="AB31" i="7" s="1"/>
  <c r="X31" i="6"/>
  <c r="AB32" i="6" l="1"/>
  <c r="AB32" i="7"/>
  <c r="X32" i="6"/>
  <c r="X33" i="6" s="1"/>
  <c r="X31" i="7"/>
  <c r="X32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<sst xmlns="http://schemas.openxmlformats.org/spreadsheetml/2006/main" count="301" uniqueCount="55">
  <si>
    <t>Provento Tipo</t>
  </si>
  <si>
    <t>Data ex-Direitos</t>
  </si>
  <si>
    <t>Data Pagamento</t>
  </si>
  <si>
    <t>Valor Total
(R$ mil)</t>
  </si>
  <si>
    <t>Proventos/Ação (R$)</t>
  </si>
  <si>
    <t>Lucro Líquido IFRS¹
(R$ mil)</t>
  </si>
  <si>
    <t>Payout
IFRS</t>
  </si>
  <si>
    <t>Lucro Líquido Regulatório¹
(R$ mil)</t>
  </si>
  <si>
    <t>Payout
Regulatório</t>
  </si>
  <si>
    <t>Ano Pgto</t>
  </si>
  <si>
    <t>Ano Base</t>
  </si>
  <si>
    <t>Ano de Pagamento</t>
  </si>
  <si>
    <t>JCP
(R$ mil)</t>
  </si>
  <si>
    <t>Dividendos 
(R$ mil)</t>
  </si>
  <si>
    <t>Total
(R$ mil)</t>
  </si>
  <si>
    <t>Proventos/
Ação</t>
  </si>
  <si>
    <t>Dividendos/
Ação</t>
  </si>
  <si>
    <t>Exercício Social
 (base)</t>
  </si>
  <si>
    <t>Lucro Líquido Regulatório (R$ Mil)</t>
  </si>
  <si>
    <t>Payout Regulatório</t>
  </si>
  <si>
    <t>JCP</t>
  </si>
  <si>
    <t>Dividendos</t>
  </si>
  <si>
    <t>Dividendos³</t>
  </si>
  <si>
    <t>Total</t>
  </si>
  <si>
    <t>N/A</t>
  </si>
  <si>
    <t>¹ Exclui a participação do acionista não controlador</t>
  </si>
  <si>
    <t>² Distribuição de dividendos com base na reserva constituída nas demonstrações financeiras relativas ao exercício de 2017</t>
  </si>
  <si>
    <t>³ Distribution of interim dividends on the constituted profit reserve</t>
  </si>
  <si>
    <t>Event</t>
  </si>
  <si>
    <t>Ex-Date</t>
  </si>
  <si>
    <t>Payment Date</t>
  </si>
  <si>
    <t>Total
(R$ thousand)</t>
  </si>
  <si>
    <t>Payment per share</t>
  </si>
  <si>
    <t>Net Result
IFRS 
(R$ thousand)</t>
  </si>
  <si>
    <t>Payout
(IFRS)</t>
  </si>
  <si>
    <t>Net Result
Regulatory
(R$ thousand)</t>
  </si>
  <si>
    <t>Payout
Regulatory</t>
  </si>
  <si>
    <t>Payment Year</t>
  </si>
  <si>
    <t>Fiscal Year</t>
  </si>
  <si>
    <t>IOE
(R$ thousand)</t>
  </si>
  <si>
    <t>Dividends
(R$ thousand)</t>
  </si>
  <si>
    <t>Dividends per share</t>
  </si>
  <si>
    <t>IOE</t>
  </si>
  <si>
    <t>Dividends</t>
  </si>
  <si>
    <t>Dividends³</t>
  </si>
  <si>
    <t xml:space="preserve">Dividends³ </t>
  </si>
  <si>
    <t xml:space="preserve">¹ Excludes a non-controlling shareholder participation
</t>
  </si>
  <si>
    <t>² Distribution of dividends, based on the reserve constituted in the financial statements regarding the year of 2017</t>
  </si>
  <si>
    <t>Mês:</t>
  </si>
  <si>
    <t>→Menu←</t>
  </si>
  <si>
    <t>Trim:</t>
  </si>
  <si>
    <t>4T25</t>
  </si>
  <si>
    <t>Check</t>
  </si>
  <si>
    <t>ano</t>
  </si>
  <si>
    <t>³ Distribuição de dividendos intermediários sobre a reserva de lucros constituída.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</si>
</sst>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#,##0.0000"/>
    <numFmt numFmtId="165" formatCode="#,##0.0;\-#,##0.0"/>
    <numFmt numFmtId="166" formatCode="_-* #,##0_-;\-* #,##0_-;_-* &quot;-&quot;??_-;_-@_-"/>
    <numFmt numFmtId="167" formatCode="_-&quot;R$&quot;\ * #,##0.00000_-;\-&quot;R$&quot;\ * #,##0.00000_-;_-&quot;R$&quot;\ * &quot;-&quot;??_-;_-@_-"/>
    <numFmt numFmtId="168" formatCode="0.0%"/>
    <numFmt numFmtId="169" formatCode="_-* #,##0.0_-;\-* #,##0.0_-;_-* &quot;-&quot;??_-;_-@_-"/>
    <numFmt numFmtId="170" formatCode="_-* #,##0_-;\-* #,##0_-;_-* &quot;-&quot;????_-;_-@_-"/>
    <numFmt numFmtId="171" formatCode="_-* #,##0.0000_-;\-* #,##0.0000_-;_-* &quot;-&quot;????_-;_-@_-"/>
    <numFmt numFmtId="172" formatCode="_-* #,##0.000000_-;\-* #,##0.000000_-;_-* &quot;-&quot;??_-;_-@_-"/>
    <numFmt numFmtId="173" formatCode="mm/dd/yy;@"/>
    <numFmt numFmtId="174" formatCode="[$-416]mmm\-yy;@"/>
    <numFmt numFmtId="175" formatCode="_(* #,##0.00_);_(* \(#,##0.00\);_(* &quot;-&quot;??_);_(@_)"/>
    <numFmt numFmtId="176" formatCode="_(&quot;R$&quot;* #,##0.00_);_(&quot;R$&quot;* \(#,##0.00\);_(&quot;R$&quot;* &quot;-&quot;??_);_(@_)"/>
    <numFmt numFmtId="177" formatCode="_-&quot;R$&quot;\ * #,##0.00000_-;\-&quot;R$&quot;\ * #,##0.00000_-;_-&quot;R$&quot;\ * &quot;-&quot;?????_-;_-@_-"/>
    <numFmt numFmtId="178" formatCode="_-&quot;R$&quot;\ * #,##0.0000_-;\-&quot;R$&quot;\ * #,##0.0000_-;_-&quot;R$&quot;\ * &quot;-&quot;??_-;_-@_-"/>
    <numFmt numFmtId="179" formatCode="_-&quot;R$&quot;\ * #,##0.000_-;\-&quot;R$&quot;\ * #,##0.000_-;_-&quot;R$&quot;\ * &quot;-&quot;??_-;_-@_-"/>
    <numFmt numFmtId="180" formatCode="_-&quot;R$&quot;\ * #,##0.0_-;\-&quot;R$&quot;\ * #,##0.0_-;_-&quot;R$&quot;\ * &quot;-&quot;??_-;_-@_-"/>
    <numFmt numFmtId="181" formatCode="_-&quot;R$&quot;\ * #,##0_-;\-&quot;R$&quot;\ * #,##0_-;_-&quot;R$&quot;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 tint="-0.249977111117893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2"/>
      <color theme="0" tint="-0.499984740745262"/>
      <name val="Arial"/>
      <family val="2"/>
    </font>
    <font>
      <sz val="12"/>
      <color theme="0" tint="-0.249977111117893"/>
      <name val="Aptos Narrow"/>
      <family val="2"/>
      <scheme val="minor"/>
    </font>
    <font>
      <sz val="12"/>
      <color rgb="FF686868"/>
      <name val="Arial"/>
      <family val="2"/>
    </font>
    <font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u/>
      <sz val="11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499984740745262"/>
      </left>
      <right/>
      <top style="medium">
        <color theme="0" tint="-0.14993743705557422"/>
      </top>
      <bottom style="medium">
        <color theme="0" tint="-0.24994659260841701"/>
      </bottom>
      <diagonal/>
    </border>
    <border>
      <left/>
      <right/>
      <top style="medium">
        <color theme="0" tint="-0.14993743705557422"/>
      </top>
      <bottom style="medium">
        <color theme="0" tint="-0.24994659260841701"/>
      </bottom>
      <diagonal/>
    </border>
    <border>
      <left/>
      <right style="thin">
        <color theme="0" tint="-0.499984740745262"/>
      </right>
      <top style="medium">
        <color theme="0" tint="-0.14993743705557422"/>
      </top>
      <bottom style="medium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499984740745262"/>
      </left>
      <right style="medium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2" fillId="0" borderId="0" xfId="0" applyFont="1"/>
    <xf numFmtId="1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9" fontId="7" fillId="3" borderId="3" xfId="1" applyFont="1" applyFill="1" applyBorder="1" applyAlignment="1">
      <alignment horizontal="center" vertical="center"/>
    </xf>
    <xf numFmtId="9" fontId="7" fillId="3" borderId="4" xfId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166" fontId="8" fillId="4" borderId="6" xfId="0" applyNumberFormat="1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9" fontId="8" fillId="4" borderId="9" xfId="1" applyFont="1" applyFill="1" applyBorder="1" applyAlignment="1">
      <alignment horizontal="center"/>
    </xf>
    <xf numFmtId="0" fontId="2" fillId="4" borderId="0" xfId="0" applyFont="1" applyFill="1"/>
    <xf numFmtId="37" fontId="9" fillId="0" borderId="10" xfId="0" applyNumberFormat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9" fontId="9" fillId="0" borderId="11" xfId="1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/>
    </xf>
    <xf numFmtId="166" fontId="8" fillId="5" borderId="6" xfId="0" applyNumberFormat="1" applyFont="1" applyFill="1" applyBorder="1" applyAlignment="1">
      <alignment horizontal="center"/>
    </xf>
    <xf numFmtId="166" fontId="8" fillId="5" borderId="8" xfId="0" applyNumberFormat="1" applyFont="1" applyFill="1" applyBorder="1" applyAlignment="1">
      <alignment horizontal="center"/>
    </xf>
    <xf numFmtId="9" fontId="8" fillId="5" borderId="9" xfId="1" applyFont="1" applyFill="1" applyBorder="1" applyAlignment="1">
      <alignment horizontal="center"/>
    </xf>
    <xf numFmtId="0" fontId="10" fillId="0" borderId="0" xfId="0" applyFont="1"/>
    <xf numFmtId="0" fontId="6" fillId="4" borderId="0" xfId="0" applyFont="1" applyFill="1"/>
    <xf numFmtId="168" fontId="6" fillId="0" borderId="0" xfId="1" applyNumberFormat="1" applyFont="1"/>
    <xf numFmtId="0" fontId="4" fillId="6" borderId="13" xfId="0" applyFont="1" applyFill="1" applyBorder="1" applyAlignment="1">
      <alignment horizontal="center" vertical="center"/>
    </xf>
    <xf numFmtId="166" fontId="4" fillId="6" borderId="14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166" fontId="4" fillId="6" borderId="17" xfId="0" applyNumberFormat="1" applyFont="1" applyFill="1" applyBorder="1" applyAlignment="1">
      <alignment horizontal="center" vertical="center"/>
    </xf>
    <xf numFmtId="9" fontId="4" fillId="6" borderId="18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169" fontId="12" fillId="0" borderId="0" xfId="0" applyNumberFormat="1" applyFont="1"/>
    <xf numFmtId="168" fontId="12" fillId="0" borderId="0" xfId="1" applyNumberFormat="1" applyFont="1" applyAlignment="1">
      <alignment horizontal="center"/>
    </xf>
    <xf numFmtId="168" fontId="6" fillId="4" borderId="0" xfId="1" applyNumberFormat="1" applyFont="1" applyFill="1" applyAlignment="1">
      <alignment horizontal="center"/>
    </xf>
    <xf numFmtId="168" fontId="6" fillId="0" borderId="0" xfId="1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11" fillId="7" borderId="19" xfId="0" applyFont="1" applyFill="1" applyBorder="1" applyAlignment="1">
      <alignment horizontal="center" vertical="center" wrapText="1"/>
    </xf>
    <xf numFmtId="14" fontId="11" fillId="7" borderId="20" xfId="0" applyNumberFormat="1" applyFont="1" applyFill="1" applyBorder="1" applyAlignment="1">
      <alignment horizontal="center" vertical="center" wrapText="1"/>
    </xf>
    <xf numFmtId="3" fontId="11" fillId="7" borderId="20" xfId="0" applyNumberFormat="1" applyFont="1" applyFill="1" applyBorder="1" applyAlignment="1">
      <alignment horizontal="center" vertical="center" wrapText="1"/>
    </xf>
    <xf numFmtId="164" fontId="11" fillId="7" borderId="20" xfId="0" applyNumberFormat="1" applyFont="1" applyFill="1" applyBorder="1" applyAlignment="1">
      <alignment horizontal="center" vertical="center" wrapText="1"/>
    </xf>
    <xf numFmtId="9" fontId="9" fillId="0" borderId="20" xfId="1" applyFont="1" applyBorder="1" applyAlignment="1">
      <alignment horizontal="center" vertical="center"/>
    </xf>
    <xf numFmtId="9" fontId="9" fillId="0" borderId="21" xfId="1" applyFont="1" applyBorder="1" applyAlignment="1">
      <alignment horizontal="center" vertical="center"/>
    </xf>
    <xf numFmtId="0" fontId="11" fillId="7" borderId="0" xfId="0" applyFont="1" applyFill="1" applyAlignment="1">
      <alignment horizontal="left" vertical="top"/>
    </xf>
    <xf numFmtId="0" fontId="11" fillId="7" borderId="0" xfId="0" applyFont="1" applyFill="1" applyAlignment="1">
      <alignment horizontal="center" vertical="top" wrapText="1"/>
    </xf>
    <xf numFmtId="3" fontId="11" fillId="7" borderId="0" xfId="0" applyNumberFormat="1" applyFont="1" applyFill="1" applyAlignment="1">
      <alignment horizontal="center" vertical="top" wrapText="1"/>
    </xf>
    <xf numFmtId="164" fontId="11" fillId="7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72" fontId="12" fillId="0" borderId="0" xfId="0" applyNumberFormat="1" applyFont="1"/>
    <xf numFmtId="9" fontId="6" fillId="4" borderId="0" xfId="1" applyFont="1" applyFill="1"/>
    <xf numFmtId="173" fontId="9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8" borderId="23" xfId="5" applyFont="1" applyFill="1" applyBorder="1" applyAlignment="1">
      <alignment horizontal="center"/>
    </xf>
    <xf numFmtId="0" fontId="17" fillId="8" borderId="23" xfId="5" applyFont="1" applyFill="1" applyBorder="1" applyAlignment="1">
      <alignment horizontal="center"/>
    </xf>
    <xf numFmtId="174" fontId="17" fillId="8" borderId="23" xfId="5" applyNumberFormat="1" applyFont="1" applyFill="1" applyBorder="1" applyAlignment="1">
      <alignment horizontal="center"/>
    </xf>
    <xf numFmtId="174" fontId="17" fillId="8" borderId="24" xfId="5" applyNumberFormat="1" applyFont="1" applyFill="1" applyBorder="1" applyAlignment="1">
      <alignment horizontal="center"/>
    </xf>
    <xf numFmtId="0" fontId="18" fillId="0" borderId="0" xfId="0" applyFont="1"/>
    <xf numFmtId="0" fontId="17" fillId="8" borderId="0" xfId="5" applyFont="1" applyFill="1" applyAlignment="1">
      <alignment horizontal="center"/>
    </xf>
    <xf numFmtId="174" fontId="19" fillId="9" borderId="0" xfId="4" applyNumberFormat="1" applyFont="1" applyFill="1" applyBorder="1" applyAlignment="1">
      <alignment horizontal="center" wrapText="1"/>
    </xf>
    <xf numFmtId="0" fontId="17" fillId="8" borderId="26" xfId="5" applyFont="1" applyFill="1" applyBorder="1" applyAlignment="1">
      <alignment horizontal="center"/>
    </xf>
    <xf numFmtId="0" fontId="16" fillId="8" borderId="28" xfId="5" applyFont="1" applyFill="1" applyBorder="1" applyAlignment="1">
      <alignment horizontal="center"/>
    </xf>
    <xf numFmtId="0" fontId="17" fillId="8" borderId="28" xfId="5" applyFont="1" applyFill="1" applyBorder="1" applyAlignment="1">
      <alignment horizontal="center"/>
    </xf>
    <xf numFmtId="0" fontId="4" fillId="8" borderId="28" xfId="5" applyFont="1" applyFill="1" applyBorder="1" applyAlignment="1">
      <alignment horizontal="center"/>
    </xf>
    <xf numFmtId="0" fontId="17" fillId="8" borderId="29" xfId="5" applyFont="1" applyFill="1" applyBorder="1" applyAlignment="1">
      <alignment horizontal="center"/>
    </xf>
    <xf numFmtId="174" fontId="17" fillId="9" borderId="0" xfId="6" applyNumberFormat="1" applyFont="1" applyFill="1" applyBorder="1" applyAlignment="1">
      <alignment horizontal="center"/>
    </xf>
    <xf numFmtId="1" fontId="17" fillId="9" borderId="0" xfId="6" applyNumberFormat="1" applyFont="1" applyFill="1" applyBorder="1" applyAlignment="1">
      <alignment horizontal="center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1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164" fontId="4" fillId="0" borderId="0" xfId="2" applyNumberFormat="1" applyFont="1" applyAlignment="1">
      <alignment horizontal="center" vertical="center" wrapText="1"/>
    </xf>
    <xf numFmtId="166" fontId="8" fillId="5" borderId="6" xfId="6" applyNumberFormat="1" applyFont="1" applyFill="1" applyBorder="1"/>
    <xf numFmtId="167" fontId="8" fillId="5" borderId="7" xfId="7" applyNumberFormat="1" applyFont="1" applyFill="1" applyBorder="1" applyAlignment="1">
      <alignment horizontal="center"/>
    </xf>
    <xf numFmtId="166" fontId="8" fillId="5" borderId="8" xfId="6" applyNumberFormat="1" applyFont="1" applyFill="1" applyBorder="1"/>
    <xf numFmtId="1" fontId="7" fillId="3" borderId="2" xfId="6" applyNumberFormat="1" applyFont="1" applyFill="1" applyBorder="1" applyAlignment="1">
      <alignment horizontal="center"/>
    </xf>
    <xf numFmtId="165" fontId="7" fillId="3" borderId="3" xfId="6" applyNumberFormat="1" applyFont="1" applyFill="1" applyBorder="1" applyAlignment="1">
      <alignment horizontal="center" vertical="center"/>
    </xf>
    <xf numFmtId="3" fontId="7" fillId="3" borderId="3" xfId="6" applyNumberFormat="1" applyFont="1" applyFill="1" applyBorder="1" applyAlignment="1">
      <alignment horizontal="center" vertical="center"/>
    </xf>
    <xf numFmtId="164" fontId="7" fillId="3" borderId="3" xfId="6" applyNumberFormat="1" applyFont="1" applyFill="1" applyBorder="1" applyAlignment="1">
      <alignment horizontal="center" vertical="center"/>
    </xf>
    <xf numFmtId="166" fontId="8" fillId="4" borderId="6" xfId="6" applyNumberFormat="1" applyFont="1" applyFill="1" applyBorder="1"/>
    <xf numFmtId="167" fontId="8" fillId="4" borderId="7" xfId="7" applyNumberFormat="1" applyFont="1" applyFill="1" applyBorder="1" applyAlignment="1">
      <alignment horizontal="center"/>
    </xf>
    <xf numFmtId="166" fontId="8" fillId="4" borderId="8" xfId="6" applyNumberFormat="1" applyFont="1" applyFill="1" applyBorder="1"/>
    <xf numFmtId="3" fontId="9" fillId="0" borderId="11" xfId="6" applyNumberFormat="1" applyFont="1" applyBorder="1" applyAlignment="1">
      <alignment horizontal="center" vertical="center"/>
    </xf>
    <xf numFmtId="164" fontId="9" fillId="0" borderId="11" xfId="6" applyNumberFormat="1" applyFont="1" applyBorder="1" applyAlignment="1">
      <alignment horizontal="center" vertical="center"/>
    </xf>
    <xf numFmtId="166" fontId="5" fillId="0" borderId="0" xfId="6" applyNumberFormat="1" applyFont="1"/>
    <xf numFmtId="166" fontId="6" fillId="0" borderId="0" xfId="6" applyNumberFormat="1" applyFont="1"/>
    <xf numFmtId="167" fontId="4" fillId="6" borderId="15" xfId="7" applyNumberFormat="1" applyFont="1" applyFill="1" applyBorder="1" applyAlignment="1">
      <alignment horizontal="center" vertical="center"/>
    </xf>
    <xf numFmtId="1" fontId="4" fillId="2" borderId="1" xfId="8" applyNumberFormat="1" applyFont="1" applyFill="1" applyBorder="1" applyAlignment="1">
      <alignment horizontal="center" vertical="center" wrapText="1"/>
    </xf>
    <xf numFmtId="3" fontId="4" fillId="2" borderId="1" xfId="8" applyNumberFormat="1" applyFont="1" applyFill="1" applyBorder="1" applyAlignment="1">
      <alignment horizontal="center" vertical="center" wrapText="1"/>
    </xf>
    <xf numFmtId="173" fontId="7" fillId="3" borderId="3" xfId="6" applyNumberFormat="1" applyFont="1" applyFill="1" applyBorder="1" applyAlignment="1">
      <alignment horizontal="center" vertical="center"/>
    </xf>
    <xf numFmtId="167" fontId="6" fillId="4" borderId="0" xfId="0" applyNumberFormat="1" applyFont="1" applyFill="1"/>
    <xf numFmtId="166" fontId="6" fillId="4" borderId="0" xfId="0" applyNumberFormat="1" applyFont="1" applyFill="1"/>
    <xf numFmtId="4" fontId="6" fillId="0" borderId="0" xfId="0" applyNumberFormat="1" applyFont="1" applyAlignment="1">
      <alignment horizontal="center"/>
    </xf>
    <xf numFmtId="177" fontId="6" fillId="4" borderId="0" xfId="0" applyNumberFormat="1" applyFont="1" applyFill="1"/>
    <xf numFmtId="178" fontId="8" fillId="4" borderId="7" xfId="7" applyNumberFormat="1" applyFont="1" applyFill="1" applyBorder="1" applyAlignment="1">
      <alignment horizontal="center"/>
    </xf>
    <xf numFmtId="178" fontId="8" fillId="5" borderId="7" xfId="7" applyNumberFormat="1" applyFont="1" applyFill="1" applyBorder="1" applyAlignment="1">
      <alignment horizontal="center"/>
    </xf>
    <xf numFmtId="179" fontId="8" fillId="4" borderId="7" xfId="7" applyNumberFormat="1" applyFont="1" applyFill="1" applyBorder="1" applyAlignment="1">
      <alignment horizontal="center"/>
    </xf>
    <xf numFmtId="179" fontId="8" fillId="5" borderId="7" xfId="7" applyNumberFormat="1" applyFont="1" applyFill="1" applyBorder="1" applyAlignment="1">
      <alignment horizontal="center"/>
    </xf>
    <xf numFmtId="181" fontId="8" fillId="4" borderId="7" xfId="7" applyNumberFormat="1" applyFont="1" applyFill="1" applyBorder="1" applyAlignment="1">
      <alignment horizontal="center"/>
    </xf>
    <xf numFmtId="181" fontId="8" fillId="5" borderId="7" xfId="7" applyNumberFormat="1" applyFont="1" applyFill="1" applyBorder="1" applyAlignment="1">
      <alignment horizontal="center"/>
    </xf>
    <xf numFmtId="9" fontId="8" fillId="4" borderId="6" xfId="1" applyFont="1" applyFill="1" applyBorder="1" applyAlignment="1">
      <alignment horizontal="center"/>
    </xf>
    <xf numFmtId="9" fontId="8" fillId="5" borderId="6" xfId="1" applyFont="1" applyFill="1" applyBorder="1" applyAlignment="1">
      <alignment horizontal="center"/>
    </xf>
    <xf numFmtId="178" fontId="4" fillId="6" borderId="15" xfId="7" applyNumberFormat="1" applyFont="1" applyFill="1" applyBorder="1" applyAlignment="1">
      <alignment horizontal="center" vertical="center"/>
    </xf>
    <xf numFmtId="179" fontId="4" fillId="6" borderId="15" xfId="7" applyNumberFormat="1" applyFont="1" applyFill="1" applyBorder="1" applyAlignment="1">
      <alignment horizontal="center" vertical="center"/>
    </xf>
    <xf numFmtId="180" fontId="4" fillId="6" borderId="15" xfId="7" applyNumberFormat="1" applyFont="1" applyFill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 vertical="center"/>
    </xf>
    <xf numFmtId="0" fontId="15" fillId="0" borderId="27" xfId="5" applyFont="1" applyBorder="1" applyAlignment="1">
      <alignment horizontal="center" vertical="center"/>
    </xf>
  </cellXfs>
  <cellStyles count="9">
    <cellStyle name="_x000d__x000a_JournalTemplate=C:\COMFO\CTALK\JOURSTD.TPL_x000d__x000a_LbStateAddress=3 3 0 251 1 89 2 311_x000d__x000a_LbStateJou" xfId="5" xr:uid="{958CA62C-0475-46A0-A957-6C079FCF1611}"/>
    <cellStyle name="Hiperlink" xfId="4" builtinId="8"/>
    <cellStyle name="Moeda 2" xfId="7" xr:uid="{A0F3569F-82AB-4AA9-867A-D5485F9F16CD}"/>
    <cellStyle name="Normal" xfId="0" builtinId="0"/>
    <cellStyle name="Normal 133" xfId="2" xr:uid="{5F036D29-A499-4887-83BC-21D73E5149EB}"/>
    <cellStyle name="Normal 133 2" xfId="8" xr:uid="{0984C6DC-06CB-48B3-A8C5-19F8717D8D2D}"/>
    <cellStyle name="Porcentagem" xfId="1" builtinId="5"/>
    <cellStyle name="Vírgula 18" xfId="3" xr:uid="{E5FC1EF1-6A41-4E82-BA0B-4501314C455B}"/>
    <cellStyle name="Vírgula 2" xfId="6" xr:uid="{7FD05C78-BB52-4C31-82E5-2DB7BB2C5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NOVA%20REDE\10.%20DIVULGA&#199;&#213;ES%20TRIMESTRAIS\2025\4T25\BASE\Base_Financials%204T25.xlsx" TargetMode="External"/><Relationship Id="rId1" Type="http://schemas.openxmlformats.org/officeDocument/2006/relationships/externalLinkPath" Target="/NOVA%20REDE/10.%20DIVULGA&#199;&#213;ES%20TRIMESTRAIS/2025/4T25/BASE/Base_Financials%204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Receita (resumo)"/>
      <sheetName val="Receita (ajuste)"/>
      <sheetName val="Receita"/>
      <sheetName val="PA"/>
      <sheetName val="PA (2)"/>
      <sheetName val="Custos e Despesas"/>
      <sheetName val="Resultado Financ"/>
      <sheetName val="Recomposição Ebitda Reg"/>
      <sheetName val="Outras Rec. e Desp."/>
      <sheetName val="EBITDA"/>
      <sheetName val="EBITDA Pró-forma"/>
      <sheetName val="IRPJ|CSLL"/>
      <sheetName val="Destaques"/>
      <sheetName val="Base DRE Reg"/>
      <sheetName val="DRE Reg"/>
      <sheetName val="DRE Reg Pró-forma"/>
      <sheetName val="Equivalência Patrimonial"/>
      <sheetName val="DFC Reg"/>
      <sheetName val="Balanço Reg"/>
      <sheetName val="Balanço Reg (vs anterior)"/>
      <sheetName val="Dívida_Consolidado"/>
      <sheetName val="Endividamento"/>
      <sheetName val="Covenants"/>
      <sheetName val="Amortização"/>
      <sheetName val="Dívida_Coligadas"/>
      <sheetName val="DRE IFRS"/>
      <sheetName val="DRE IFRS (DFP)"/>
      <sheetName val="Recomposição Ebitda IFRS"/>
      <sheetName val="Balanço IFRS (DFP)"/>
      <sheetName val="Balanço IFRS"/>
      <sheetName val="EBITDA  IFRSxReg"/>
      <sheetName val="DRE IFRSxReg"/>
      <sheetName val="DFC IFRS"/>
      <sheetName val="RTP 059"/>
      <sheetName val="RAP 25.26 PTBR"/>
      <sheetName val="RAP 25.26 ENG"/>
      <sheetName val="RAP 24.25"/>
      <sheetName val="Composição Acionária"/>
      <sheetName val="Tabela Proventos"/>
      <sheetName val="Proventos (port)"/>
      <sheetName val="Proventos (eng)"/>
      <sheetName val="Tabela Auxiliar"/>
    </sheetNames>
    <sheetDataSet>
      <sheetData sheetId="0">
        <row r="3">
          <cell r="D3">
            <v>46022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0">
          <cell r="F40">
            <v>1625761.8764799973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0">
          <cell r="F30">
            <v>-4.9880000000000004</v>
          </cell>
        </row>
        <row r="42">
          <cell r="F42">
            <v>2447.8979639100066</v>
          </cell>
          <cell r="G42">
            <v>3498.4163703099998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43A5-F378-4A04-9980-F7D5534F8F0B}">
  <dimension ref="A1:AJ164"/>
  <sheetViews>
    <sheetView showGridLines="0" zoomScale="70" zoomScaleNormal="70" workbookViewId="0">
      <pane ySplit="6" topLeftCell="A7" activePane="bottomLeft" state="frozen"/>
      <selection activeCell="O7" sqref="O7:O40"/>
      <selection pane="bottomLeft" activeCell="E10" sqref="E10"/>
    </sheetView>
  </sheetViews>
  <sheetFormatPr defaultColWidth="8.81640625" defaultRowHeight="15.5" outlineLevelCol="1" x14ac:dyDescent="0.35"/>
  <cols>
    <col min="1" max="1" width="11.7265625" style="1" hidden="1" customWidth="1" outlineLevel="1"/>
    <col min="2" max="2" width="16.1796875" style="32" bestFit="1" customWidth="1" collapsed="1"/>
    <col min="3" max="3" width="15.81640625" style="32" customWidth="1"/>
    <col min="4" max="4" width="15.1796875" style="32" customWidth="1"/>
    <col min="5" max="5" width="15.453125" style="52" customWidth="1"/>
    <col min="6" max="6" width="12.1796875" style="53" customWidth="1"/>
    <col min="7" max="7" width="15.453125" style="52" customWidth="1"/>
    <col min="8" max="8" width="13.54296875" style="32" customWidth="1"/>
    <col min="9" max="9" width="16.90625" style="52" customWidth="1"/>
    <col min="10" max="10" width="14.1796875" style="32" bestFit="1" customWidth="1"/>
    <col min="11" max="11" width="3.6328125" style="7" customWidth="1"/>
    <col min="12" max="13" width="8.81640625" style="6" hidden="1" customWidth="1" outlineLevel="1"/>
    <col min="14" max="14" width="5.453125" style="7" customWidth="1" collapsed="1"/>
    <col min="15" max="15" width="19.81640625" style="32" bestFit="1" customWidth="1"/>
    <col min="16" max="16" width="12.1796875" style="32" customWidth="1"/>
    <col min="17" max="17" width="12.81640625" style="32" customWidth="1"/>
    <col min="18" max="18" width="14.1796875" style="7" customWidth="1"/>
    <col min="19" max="20" width="17.1796875" style="7" customWidth="1"/>
    <col min="21" max="21" width="8.81640625" style="7"/>
    <col min="22" max="22" width="11.1796875" style="32" customWidth="1"/>
    <col min="23" max="23" width="13.26953125" style="32" bestFit="1" customWidth="1"/>
    <col min="24" max="24" width="13.453125" style="32" customWidth="1"/>
    <col min="25" max="25" width="14.1796875" style="7" customWidth="1"/>
    <col min="26" max="26" width="17.1796875" style="7" customWidth="1"/>
    <col min="27" max="27" width="14.1796875" style="7" customWidth="1"/>
    <col min="28" max="28" width="13.453125" style="37" customWidth="1"/>
    <col min="29" max="16384" width="8.81640625" style="7"/>
  </cols>
  <sheetData>
    <row r="1" spans="1:36" s="62" customFormat="1" ht="14" x14ac:dyDescent="0.3">
      <c r="A1" s="57"/>
      <c r="B1" s="112" t="e" vm="1">
        <v>#VALUE!</v>
      </c>
      <c r="C1" s="58"/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/>
    </row>
    <row r="2" spans="1:36" s="62" customFormat="1" ht="14" x14ac:dyDescent="0.3">
      <c r="A2" s="57"/>
      <c r="B2" s="113"/>
      <c r="C2" s="63" t="s">
        <v>48</v>
      </c>
      <c r="D2" s="70">
        <v>46022</v>
      </c>
      <c r="E2" s="63"/>
      <c r="F2" s="64" t="s">
        <v>49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5"/>
    </row>
    <row r="3" spans="1:36" s="62" customFormat="1" ht="14" x14ac:dyDescent="0.3">
      <c r="A3" s="57"/>
      <c r="B3" s="113"/>
      <c r="C3" s="63" t="s">
        <v>50</v>
      </c>
      <c r="D3" s="71" t="s">
        <v>51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5"/>
    </row>
    <row r="4" spans="1:36" s="62" customFormat="1" ht="16" thickBot="1" x14ac:dyDescent="0.4">
      <c r="A4" s="57"/>
      <c r="B4" s="114"/>
      <c r="C4" s="66"/>
      <c r="D4" s="66"/>
      <c r="E4" s="66"/>
      <c r="F4" s="67"/>
      <c r="G4" s="67"/>
      <c r="H4" s="67"/>
      <c r="I4" s="6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9"/>
    </row>
    <row r="5" spans="1:36" s="62" customFormat="1" x14ac:dyDescent="0.35">
      <c r="A5" s="57"/>
      <c r="B5" s="72"/>
      <c r="C5" s="73"/>
      <c r="D5" s="73"/>
      <c r="E5" s="73"/>
      <c r="F5" s="74"/>
      <c r="G5" s="74"/>
      <c r="H5" s="74"/>
      <c r="I5" s="75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</row>
    <row r="6" spans="1:36" ht="68.5" customHeight="1" x14ac:dyDescent="0.35">
      <c r="B6" s="2" t="s">
        <v>0</v>
      </c>
      <c r="C6" s="2" t="s">
        <v>1</v>
      </c>
      <c r="D6" s="2" t="s">
        <v>2</v>
      </c>
      <c r="E6" s="3" t="s">
        <v>3</v>
      </c>
      <c r="F6" s="4" t="s">
        <v>4</v>
      </c>
      <c r="G6" s="3" t="s">
        <v>5</v>
      </c>
      <c r="H6" s="2" t="s">
        <v>6</v>
      </c>
      <c r="I6" s="3" t="s">
        <v>7</v>
      </c>
      <c r="J6" s="2" t="s">
        <v>8</v>
      </c>
      <c r="K6" s="5"/>
      <c r="L6" s="6" t="s">
        <v>9</v>
      </c>
      <c r="M6" s="6" t="s">
        <v>10</v>
      </c>
      <c r="O6" s="2" t="s">
        <v>11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16</v>
      </c>
      <c r="V6" s="2" t="s">
        <v>17</v>
      </c>
      <c r="W6" s="2" t="s">
        <v>12</v>
      </c>
      <c r="X6" s="2" t="s">
        <v>13</v>
      </c>
      <c r="Y6" s="2" t="s">
        <v>14</v>
      </c>
      <c r="Z6" s="2" t="s">
        <v>15</v>
      </c>
      <c r="AA6" s="2" t="s">
        <v>18</v>
      </c>
      <c r="AB6" s="2" t="s">
        <v>19</v>
      </c>
    </row>
    <row r="7" spans="1:36" ht="16" thickBot="1" x14ac:dyDescent="0.4">
      <c r="B7" s="76"/>
      <c r="C7" s="76"/>
      <c r="D7" s="76"/>
      <c r="E7" s="77"/>
      <c r="F7" s="78"/>
      <c r="G7" s="77"/>
      <c r="H7" s="76"/>
      <c r="I7" s="77"/>
      <c r="J7" s="76"/>
      <c r="K7" s="5"/>
      <c r="O7" s="20">
        <v>2026</v>
      </c>
      <c r="P7" s="79">
        <f t="shared" ref="P7:P9" si="0">SUMIFS($E:$E,$L:$L,$O7,$B:$B,"JCP")</f>
        <v>495255</v>
      </c>
      <c r="Q7" s="21">
        <f>R7-P7</f>
        <v>279322.37571000005</v>
      </c>
      <c r="R7" s="79">
        <f t="shared" ref="R7:R9" si="1">SUMIF($L:$L,$O7,$E:$E)</f>
        <v>774577.37571000005</v>
      </c>
      <c r="S7" s="80">
        <f>SUMIFS($F:$F,$L:$L,$O7,$A:$A,"JCP")</f>
        <v>0.75165900000000008</v>
      </c>
      <c r="T7" s="80">
        <f>SUMIFS($F:$F,$L:$L,$O7,$A:$A,"Dividendos")</f>
        <v>0.423933</v>
      </c>
      <c r="V7" s="20">
        <f t="shared" ref="V7:V9" si="2">O7</f>
        <v>2026</v>
      </c>
      <c r="W7" s="81">
        <f>SUMIFS($E:$E,$M:$M,$V7,$B:$B,"JCP")</f>
        <v>0</v>
      </c>
      <c r="X7" s="22">
        <f>Y7-W7</f>
        <v>0</v>
      </c>
      <c r="Y7" s="81">
        <f t="shared" ref="Y7:Y9" si="3">SUMIF($M:$M,$V7,$E:$E)</f>
        <v>0</v>
      </c>
      <c r="Z7" s="80">
        <f>SUMIF($M:$M,$V7,$F:$F)</f>
        <v>0</v>
      </c>
      <c r="AA7" s="81">
        <f>IFERROR(INDEX($B$6:$J$158,MATCH($V7,$B$6:$B$158,0),MATCH(I$6,$B$6:$J$6,0)),0)</f>
        <v>0</v>
      </c>
      <c r="AB7" s="23" t="str">
        <f t="shared" ref="AB7:AB9" si="4">IFERROR(IF(Y7/AA7&lt;0,"N/A",Y7/AA7),"N/A")</f>
        <v>N/A</v>
      </c>
    </row>
    <row r="8" spans="1:36" ht="16" thickBot="1" x14ac:dyDescent="0.4">
      <c r="A8" s="14" t="s">
        <v>53</v>
      </c>
      <c r="B8" s="82">
        <v>2025</v>
      </c>
      <c r="C8" s="83"/>
      <c r="D8" s="83"/>
      <c r="E8" s="84">
        <f>SUM(E9:E11)</f>
        <v>279322.37570999999</v>
      </c>
      <c r="F8" s="85">
        <f>SUM(F9:F11)</f>
        <v>0.423933</v>
      </c>
      <c r="G8" s="84">
        <f>'[1]DRE IFRS'!$F$42*1000</f>
        <v>2447897.9639100065</v>
      </c>
      <c r="H8" s="8">
        <f>E8/G8</f>
        <v>0.11410703380129487</v>
      </c>
      <c r="I8" s="84">
        <v>1625761.8764800001</v>
      </c>
      <c r="J8" s="9">
        <f>E8/I8</f>
        <v>0.17181014006477485</v>
      </c>
      <c r="K8" s="5"/>
      <c r="O8" s="10">
        <v>2025</v>
      </c>
      <c r="P8" s="86">
        <f t="shared" si="0"/>
        <v>2000259.01856</v>
      </c>
      <c r="Q8" s="11">
        <f t="shared" ref="Q8:Q9" si="5">R8-P8</f>
        <v>0</v>
      </c>
      <c r="R8" s="86">
        <f t="shared" si="1"/>
        <v>2000259.01856</v>
      </c>
      <c r="S8" s="87">
        <f t="shared" ref="S8:S9" si="6">SUMIFS($F:$F,$L:$L,$O8,$A:$A,"JCP")</f>
        <v>3.0358320000017605</v>
      </c>
      <c r="T8" s="87">
        <f>SUMIFS($F:$F,$L:$L,$O8,$A:$A,"Dividendos")</f>
        <v>0</v>
      </c>
      <c r="V8" s="10">
        <f t="shared" si="2"/>
        <v>2025</v>
      </c>
      <c r="W8" s="88">
        <f t="shared" ref="W8:W9" si="7">SUMIFS($E:$E,$M:$M,$V8,$B:$B,"JCP")</f>
        <v>939999.2535600001</v>
      </c>
      <c r="X8" s="12">
        <f>Y8-W8</f>
        <v>279322.37571000005</v>
      </c>
      <c r="Y8" s="88">
        <f t="shared" si="3"/>
        <v>1219321.6292700002</v>
      </c>
      <c r="Z8" s="87">
        <f t="shared" ref="Z8:Z9" si="8">SUMIF($M:$M,$V8,$F:$F)</f>
        <v>1.8505889999999998</v>
      </c>
      <c r="AA8" s="88">
        <f t="shared" ref="AA8:AA9" si="9">IFERROR(INDEX($B$6:$J$158,MATCH($V8,$B$6:$B$158,0),MATCH(I$6,$B$6:$J$6,0)),0)</f>
        <v>1625761.8764800001</v>
      </c>
      <c r="AB8" s="13">
        <f t="shared" si="4"/>
        <v>0.75000013649600428</v>
      </c>
    </row>
    <row r="9" spans="1:36" x14ac:dyDescent="0.35">
      <c r="A9" s="14" t="str">
        <f t="shared" ref="A9:A11" si="10">LEFT(B9,10)</f>
        <v>Dividendos</v>
      </c>
      <c r="B9" s="15" t="s">
        <v>21</v>
      </c>
      <c r="C9" s="16">
        <v>46093</v>
      </c>
      <c r="D9" s="16">
        <v>46141</v>
      </c>
      <c r="E9" s="89">
        <v>93107.458570000003</v>
      </c>
      <c r="F9" s="90">
        <v>0.14131099999999999</v>
      </c>
      <c r="G9" s="89"/>
      <c r="H9" s="17"/>
      <c r="I9" s="89"/>
      <c r="J9" s="18"/>
      <c r="K9" s="5"/>
      <c r="L9" s="6">
        <v>2026</v>
      </c>
      <c r="M9" s="6">
        <v>2025</v>
      </c>
      <c r="O9" s="20">
        <f t="shared" ref="O9" si="11">O8-1</f>
        <v>2024</v>
      </c>
      <c r="P9" s="79">
        <f t="shared" si="0"/>
        <v>1452233.48933</v>
      </c>
      <c r="Q9" s="21">
        <f t="shared" si="5"/>
        <v>0</v>
      </c>
      <c r="R9" s="79">
        <f t="shared" si="1"/>
        <v>1452233.48933</v>
      </c>
      <c r="S9" s="80">
        <f t="shared" si="6"/>
        <v>2.2040829999996481</v>
      </c>
      <c r="T9" s="80">
        <f t="shared" ref="T9" si="12">SUMIFS($F:$F,$L:$L,$O9,$A:$A,"Dividendos")</f>
        <v>0</v>
      </c>
      <c r="V9" s="20">
        <f t="shared" si="2"/>
        <v>2024</v>
      </c>
      <c r="W9" s="81">
        <f t="shared" si="7"/>
        <v>1555514.7649999999</v>
      </c>
      <c r="X9" s="22">
        <f t="shared" ref="X9" si="13">Y9-W9</f>
        <v>0</v>
      </c>
      <c r="Y9" s="81">
        <f t="shared" si="3"/>
        <v>1555514.7649999999</v>
      </c>
      <c r="Z9" s="80">
        <f t="shared" si="8"/>
        <v>2.3608350000017602</v>
      </c>
      <c r="AA9" s="81">
        <f t="shared" si="9"/>
        <v>2076570.9974200181</v>
      </c>
      <c r="AB9" s="23">
        <f t="shared" si="4"/>
        <v>0.74907853713290273</v>
      </c>
    </row>
    <row r="10" spans="1:36" x14ac:dyDescent="0.35">
      <c r="A10" s="14" t="str">
        <f>LEFT(B10,10)</f>
        <v>Dividendos</v>
      </c>
      <c r="B10" s="15" t="s">
        <v>21</v>
      </c>
      <c r="C10" s="16">
        <v>46118</v>
      </c>
      <c r="D10" s="16">
        <v>46141</v>
      </c>
      <c r="E10" s="89">
        <v>93107.458570000003</v>
      </c>
      <c r="F10" s="90">
        <v>0.14131099999999999</v>
      </c>
      <c r="G10" s="89"/>
      <c r="H10" s="17"/>
      <c r="I10" s="89"/>
      <c r="J10" s="18"/>
      <c r="K10" s="5"/>
      <c r="L10" s="6">
        <v>2026</v>
      </c>
      <c r="M10" s="6">
        <v>2025</v>
      </c>
      <c r="O10" s="10">
        <f t="shared" ref="O10:O31" si="14">O9-1</f>
        <v>2023</v>
      </c>
      <c r="P10" s="86">
        <f t="shared" ref="P10:P31" si="15">SUMIFS($E:$E,$L:$L,$O10,$B:$B,"JCP")</f>
        <v>700000.25769999996</v>
      </c>
      <c r="Q10" s="11">
        <f t="shared" ref="Q10:Q31" si="16">R10-P10</f>
        <v>0</v>
      </c>
      <c r="R10" s="86">
        <f t="shared" ref="R10:R31" si="17">SUMIF($L:$L,$O10,$E:$E)</f>
        <v>700000.25769999996</v>
      </c>
      <c r="S10" s="87">
        <f t="shared" ref="S10:S31" si="18">SUMIFS($F:$F,$L:$L,$O10,$A:$A,"JCP")</f>
        <v>1.0624039999999999</v>
      </c>
      <c r="T10" s="87">
        <f t="shared" ref="T10:T31" si="19">SUMIFS($F:$F,$L:$L,$O10,$A:$A,"Dividendos")</f>
        <v>0</v>
      </c>
      <c r="V10" s="10">
        <f t="shared" ref="V10:V31" si="20">V9-1</f>
        <v>2023</v>
      </c>
      <c r="W10" s="88">
        <f t="shared" ref="W10:W31" si="21">SUMIFS($E:$E,$M:$M,$V10,$B:$B,"JCP")</f>
        <v>1452233.48933</v>
      </c>
      <c r="X10" s="12">
        <f t="shared" ref="X10:X31" si="22">Y10-W10</f>
        <v>0</v>
      </c>
      <c r="Y10" s="88">
        <f t="shared" ref="Y10:Y31" si="23">SUMIF($M:$M,$V10,$E:$E)</f>
        <v>1452233.48933</v>
      </c>
      <c r="Z10" s="87">
        <f t="shared" ref="Z10:Z31" si="24">SUMIF($M:$M,$V10,$F:$F)</f>
        <v>2.2040829999996481</v>
      </c>
      <c r="AA10" s="88">
        <f t="shared" ref="AA10:AA31" si="25">IFERROR(INDEX($B$6:$J$158,MATCH($V10,$B$6:$B$158,0),MATCH(I$6,$B$6:$J$6,0)),0)</f>
        <v>1942286</v>
      </c>
      <c r="AB10" s="13">
        <f t="shared" ref="AB10:AB32" si="26">IFERROR(IF(Y10/AA10&lt;0,"N/A",Y10/AA10),"N/A")</f>
        <v>0.74769291923537518</v>
      </c>
    </row>
    <row r="11" spans="1:36" ht="16" thickBot="1" x14ac:dyDescent="0.4">
      <c r="A11" s="14" t="str">
        <f t="shared" si="10"/>
        <v>Dividendos</v>
      </c>
      <c r="B11" s="15" t="s">
        <v>21</v>
      </c>
      <c r="C11" s="16">
        <v>46132</v>
      </c>
      <c r="D11" s="16">
        <v>46141</v>
      </c>
      <c r="E11" s="89">
        <v>93107.458570000003</v>
      </c>
      <c r="F11" s="90">
        <v>0.14131099999999999</v>
      </c>
      <c r="G11" s="89"/>
      <c r="H11" s="17"/>
      <c r="I11" s="89"/>
      <c r="J11" s="18"/>
      <c r="K11" s="5"/>
      <c r="L11" s="6">
        <v>2026</v>
      </c>
      <c r="M11" s="6">
        <v>2025</v>
      </c>
      <c r="O11" s="20">
        <f t="shared" si="14"/>
        <v>2022</v>
      </c>
      <c r="P11" s="79">
        <f t="shared" si="15"/>
        <v>114577.17103</v>
      </c>
      <c r="Q11" s="21">
        <f t="shared" si="16"/>
        <v>0</v>
      </c>
      <c r="R11" s="79">
        <f t="shared" si="17"/>
        <v>114577.17103</v>
      </c>
      <c r="S11" s="80">
        <f t="shared" si="18"/>
        <v>0.173896</v>
      </c>
      <c r="T11" s="80">
        <f t="shared" si="19"/>
        <v>0</v>
      </c>
      <c r="V11" s="20">
        <f t="shared" si="20"/>
        <v>2022</v>
      </c>
      <c r="W11" s="81">
        <f t="shared" si="21"/>
        <v>700000.25769999996</v>
      </c>
      <c r="X11" s="22">
        <f t="shared" si="22"/>
        <v>0</v>
      </c>
      <c r="Y11" s="81">
        <f t="shared" si="23"/>
        <v>700000.25769999996</v>
      </c>
      <c r="Z11" s="80">
        <f t="shared" si="24"/>
        <v>1.0624039999999999</v>
      </c>
      <c r="AA11" s="81">
        <f t="shared" si="25"/>
        <v>936887.00000000035</v>
      </c>
      <c r="AB11" s="23">
        <f t="shared" si="26"/>
        <v>0.74715548161090894</v>
      </c>
    </row>
    <row r="12" spans="1:36" ht="16" thickBot="1" x14ac:dyDescent="0.4">
      <c r="A12" s="14" t="s">
        <v>53</v>
      </c>
      <c r="B12" s="82">
        <v>2025</v>
      </c>
      <c r="C12" s="83"/>
      <c r="D12" s="83"/>
      <c r="E12" s="84">
        <f>SUM(E13:E15)</f>
        <v>495255</v>
      </c>
      <c r="F12" s="85">
        <f>SUM(F13:F15)</f>
        <v>0.75165900000000008</v>
      </c>
      <c r="G12" s="84">
        <f>'[1]DRE IFRS'!$F$42*1000</f>
        <v>2447897.9639100065</v>
      </c>
      <c r="H12" s="8">
        <f>E12/G12</f>
        <v>0.20231848193906474</v>
      </c>
      <c r="I12" s="84">
        <v>1625761.8764800001</v>
      </c>
      <c r="J12" s="9">
        <f>E12/I12</f>
        <v>0.30462948305338278</v>
      </c>
      <c r="K12" s="5"/>
      <c r="O12" s="10">
        <f t="shared" si="14"/>
        <v>2021</v>
      </c>
      <c r="P12" s="86">
        <f t="shared" si="15"/>
        <v>950379.20763999992</v>
      </c>
      <c r="Q12" s="11">
        <f t="shared" si="16"/>
        <v>1851531.9258749678</v>
      </c>
      <c r="R12" s="86">
        <f t="shared" si="17"/>
        <v>2801911.1335149677</v>
      </c>
      <c r="S12" s="87">
        <f t="shared" si="18"/>
        <v>1.4424090000000001</v>
      </c>
      <c r="T12" s="87">
        <f t="shared" si="19"/>
        <v>2.8101060000000002</v>
      </c>
      <c r="V12" s="10">
        <f t="shared" si="20"/>
        <v>2021</v>
      </c>
      <c r="W12" s="88">
        <f t="shared" si="21"/>
        <v>629109.02636999998</v>
      </c>
      <c r="X12" s="12">
        <f t="shared" si="22"/>
        <v>1211082.8589499998</v>
      </c>
      <c r="Y12" s="88">
        <f t="shared" si="23"/>
        <v>1840191.8853199999</v>
      </c>
      <c r="Z12" s="87">
        <f t="shared" si="24"/>
        <v>2.7928950000000001</v>
      </c>
      <c r="AA12" s="88">
        <f t="shared" si="25"/>
        <v>877567</v>
      </c>
      <c r="AB12" s="13">
        <f t="shared" si="26"/>
        <v>2.0969246625271913</v>
      </c>
    </row>
    <row r="13" spans="1:36" x14ac:dyDescent="0.35">
      <c r="A13" s="14" t="str">
        <f t="shared" ref="A13:A15" si="27">LEFT(B13,10)</f>
        <v>JCP</v>
      </c>
      <c r="B13" s="15" t="s">
        <v>20</v>
      </c>
      <c r="C13" s="16">
        <v>46080</v>
      </c>
      <c r="D13" s="16">
        <v>46112</v>
      </c>
      <c r="E13" s="89">
        <v>165085</v>
      </c>
      <c r="F13" s="90">
        <v>0.25055300000000003</v>
      </c>
      <c r="G13" s="89"/>
      <c r="H13" s="17"/>
      <c r="I13" s="89"/>
      <c r="J13" s="18"/>
      <c r="K13" s="5"/>
      <c r="L13" s="6">
        <v>2026</v>
      </c>
      <c r="M13" s="6">
        <v>2025</v>
      </c>
      <c r="O13" s="20">
        <f t="shared" si="14"/>
        <v>2020</v>
      </c>
      <c r="P13" s="79">
        <f t="shared" si="15"/>
        <v>258178.36032000001</v>
      </c>
      <c r="Q13" s="21">
        <f t="shared" si="16"/>
        <v>444000</v>
      </c>
      <c r="R13" s="79">
        <f t="shared" si="17"/>
        <v>702178.36031999998</v>
      </c>
      <c r="S13" s="80">
        <f t="shared" si="18"/>
        <v>0.391843</v>
      </c>
      <c r="T13" s="80">
        <f t="shared" si="19"/>
        <v>0.67386699999999999</v>
      </c>
      <c r="V13" s="20">
        <f t="shared" si="20"/>
        <v>2020</v>
      </c>
      <c r="W13" s="81">
        <f t="shared" si="21"/>
        <v>586180.35230000003</v>
      </c>
      <c r="X13" s="22">
        <f t="shared" si="22"/>
        <v>1084449.0669249683</v>
      </c>
      <c r="Y13" s="81">
        <f t="shared" si="23"/>
        <v>1670629.4192249682</v>
      </c>
      <c r="Z13" s="80">
        <f t="shared" si="24"/>
        <v>2.5355469999999998</v>
      </c>
      <c r="AA13" s="81">
        <f t="shared" si="25"/>
        <v>2002390</v>
      </c>
      <c r="AB13" s="23">
        <f t="shared" si="26"/>
        <v>0.83431769996103067</v>
      </c>
    </row>
    <row r="14" spans="1:36" x14ac:dyDescent="0.35">
      <c r="A14" s="14" t="str">
        <f t="shared" si="27"/>
        <v>JCP</v>
      </c>
      <c r="B14" s="15" t="s">
        <v>20</v>
      </c>
      <c r="C14" s="16">
        <v>46052</v>
      </c>
      <c r="D14" s="16">
        <v>46078</v>
      </c>
      <c r="E14" s="89">
        <v>165085</v>
      </c>
      <c r="F14" s="90">
        <v>0.25055300000000003</v>
      </c>
      <c r="G14" s="89"/>
      <c r="H14" s="17"/>
      <c r="I14" s="89"/>
      <c r="J14" s="18"/>
      <c r="K14" s="5"/>
      <c r="L14" s="6">
        <v>2026</v>
      </c>
      <c r="M14" s="6">
        <v>2025</v>
      </c>
      <c r="O14" s="10">
        <f t="shared" si="14"/>
        <v>2019</v>
      </c>
      <c r="P14" s="86">
        <f t="shared" si="15"/>
        <v>593859.42848999996</v>
      </c>
      <c r="Q14" s="11">
        <f t="shared" si="16"/>
        <v>293555.57285</v>
      </c>
      <c r="R14" s="86">
        <f t="shared" si="17"/>
        <v>887415.00133999996</v>
      </c>
      <c r="S14" s="87">
        <f t="shared" si="18"/>
        <v>0.90131199999999989</v>
      </c>
      <c r="T14" s="87">
        <f t="shared" si="19"/>
        <v>0.44553500000000001</v>
      </c>
      <c r="V14" s="10">
        <f t="shared" si="20"/>
        <v>2019</v>
      </c>
      <c r="W14" s="88">
        <f t="shared" si="21"/>
        <v>701704.78881000006</v>
      </c>
      <c r="X14" s="12">
        <f t="shared" si="22"/>
        <v>293555.57284999988</v>
      </c>
      <c r="Y14" s="88">
        <f t="shared" si="23"/>
        <v>995260.36165999994</v>
      </c>
      <c r="Z14" s="87">
        <f t="shared" si="24"/>
        <v>1.510526</v>
      </c>
      <c r="AA14" s="88">
        <f t="shared" si="25"/>
        <v>1221830</v>
      </c>
      <c r="AB14" s="13">
        <f t="shared" si="26"/>
        <v>0.81456533368799255</v>
      </c>
    </row>
    <row r="15" spans="1:36" ht="16" thickBot="1" x14ac:dyDescent="0.4">
      <c r="A15" s="14" t="str">
        <f t="shared" si="27"/>
        <v>JCP</v>
      </c>
      <c r="B15" s="15" t="s">
        <v>20</v>
      </c>
      <c r="C15" s="16">
        <v>46021</v>
      </c>
      <c r="D15" s="16">
        <v>46050</v>
      </c>
      <c r="E15" s="89">
        <v>165085</v>
      </c>
      <c r="F15" s="90">
        <v>0.25055300000000003</v>
      </c>
      <c r="G15" s="89"/>
      <c r="H15" s="17"/>
      <c r="I15" s="89"/>
      <c r="J15" s="18"/>
      <c r="K15" s="5"/>
      <c r="L15" s="6">
        <v>2026</v>
      </c>
      <c r="M15" s="6">
        <v>2025</v>
      </c>
      <c r="O15" s="20">
        <f t="shared" si="14"/>
        <v>2018</v>
      </c>
      <c r="P15" s="79">
        <f t="shared" si="15"/>
        <v>592000.05981000001</v>
      </c>
      <c r="Q15" s="21">
        <f t="shared" si="16"/>
        <v>1478000.1092593162</v>
      </c>
      <c r="R15" s="79">
        <f t="shared" si="17"/>
        <v>2070000.1690693162</v>
      </c>
      <c r="S15" s="80">
        <f t="shared" si="18"/>
        <v>3.59396</v>
      </c>
      <c r="T15" s="80">
        <f t="shared" si="19"/>
        <v>8.9727579999999989</v>
      </c>
      <c r="V15" s="20">
        <f t="shared" si="20"/>
        <v>2018</v>
      </c>
      <c r="W15" s="81">
        <f t="shared" si="21"/>
        <v>592000.05981000001</v>
      </c>
      <c r="X15" s="22">
        <f t="shared" si="22"/>
        <v>1393306.5904800002</v>
      </c>
      <c r="Y15" s="81">
        <f t="shared" si="23"/>
        <v>1985306.6502900003</v>
      </c>
      <c r="Z15" s="80">
        <f t="shared" si="24"/>
        <v>12.052554000000001</v>
      </c>
      <c r="AA15" s="81">
        <f t="shared" si="25"/>
        <v>1276311</v>
      </c>
      <c r="AB15" s="23">
        <f t="shared" si="26"/>
        <v>1.5555038311900471</v>
      </c>
    </row>
    <row r="16" spans="1:36" ht="16" thickBot="1" x14ac:dyDescent="0.4">
      <c r="A16" s="14" t="s">
        <v>53</v>
      </c>
      <c r="B16" s="82">
        <v>2025</v>
      </c>
      <c r="C16" s="83"/>
      <c r="D16" s="83"/>
      <c r="E16" s="84">
        <f>SUM(E17:E19)</f>
        <v>444744.25355999998</v>
      </c>
      <c r="F16" s="85">
        <f>SUM(F17:F19)</f>
        <v>0.67499700000000007</v>
      </c>
      <c r="G16" s="84">
        <f>'[1]DRE IFRS'!$F$42*1000</f>
        <v>2447897.9639100065</v>
      </c>
      <c r="H16" s="8">
        <f>E16/G16</f>
        <v>0.18168414701796384</v>
      </c>
      <c r="I16" s="84">
        <v>1625761.8764799973</v>
      </c>
      <c r="J16" s="9">
        <f>E16/I16</f>
        <v>0.27356051337784704</v>
      </c>
      <c r="O16" s="10">
        <f t="shared" si="14"/>
        <v>2017</v>
      </c>
      <c r="P16" s="86">
        <f t="shared" si="15"/>
        <v>0</v>
      </c>
      <c r="Q16" s="11">
        <f t="shared" si="16"/>
        <v>637900.17685804993</v>
      </c>
      <c r="R16" s="86">
        <f t="shared" si="17"/>
        <v>637900.17685804993</v>
      </c>
      <c r="S16" s="87">
        <f t="shared" si="18"/>
        <v>0</v>
      </c>
      <c r="T16" s="87">
        <f t="shared" si="19"/>
        <v>3.872614</v>
      </c>
      <c r="V16" s="10">
        <f t="shared" si="20"/>
        <v>2017</v>
      </c>
      <c r="W16" s="88">
        <f t="shared" si="21"/>
        <v>0</v>
      </c>
      <c r="X16" s="12">
        <f t="shared" si="22"/>
        <v>585093.64501741016</v>
      </c>
      <c r="Y16" s="88">
        <f t="shared" si="23"/>
        <v>585093.64501741016</v>
      </c>
      <c r="Z16" s="87">
        <f t="shared" si="24"/>
        <v>3.5520320000000001</v>
      </c>
      <c r="AA16" s="88">
        <f t="shared" si="25"/>
        <v>615474</v>
      </c>
      <c r="AB16" s="13">
        <f t="shared" si="26"/>
        <v>0.95063909282505865</v>
      </c>
    </row>
    <row r="17" spans="1:28" x14ac:dyDescent="0.35">
      <c r="A17" s="14" t="str">
        <f t="shared" ref="A17:A19" si="28">LEFT(B17,10)</f>
        <v>JCP</v>
      </c>
      <c r="B17" s="15" t="s">
        <v>20</v>
      </c>
      <c r="C17" s="16">
        <v>45961</v>
      </c>
      <c r="D17" s="16">
        <v>45989</v>
      </c>
      <c r="E17" s="89">
        <f>148248084.52/1000</f>
        <v>148248.08452</v>
      </c>
      <c r="F17" s="90">
        <v>0.224999</v>
      </c>
      <c r="G17" s="89"/>
      <c r="H17" s="17"/>
      <c r="I17" s="89"/>
      <c r="J17" s="18"/>
      <c r="L17" s="6">
        <v>2025</v>
      </c>
      <c r="M17" s="6">
        <v>2025</v>
      </c>
      <c r="O17" s="20">
        <f t="shared" si="14"/>
        <v>2016</v>
      </c>
      <c r="P17" s="79">
        <f t="shared" si="15"/>
        <v>0</v>
      </c>
      <c r="Q17" s="21">
        <f t="shared" si="16"/>
        <v>110000.07344012988</v>
      </c>
      <c r="R17" s="79">
        <f t="shared" si="17"/>
        <v>110000.07344012988</v>
      </c>
      <c r="S17" s="80">
        <f t="shared" si="18"/>
        <v>0</v>
      </c>
      <c r="T17" s="80">
        <f t="shared" si="19"/>
        <v>0.66779699999999997</v>
      </c>
      <c r="V17" s="20">
        <f t="shared" si="20"/>
        <v>2016</v>
      </c>
      <c r="W17" s="81">
        <f t="shared" si="21"/>
        <v>0</v>
      </c>
      <c r="X17" s="22">
        <f t="shared" si="22"/>
        <v>247500.12406008574</v>
      </c>
      <c r="Y17" s="81">
        <f t="shared" si="23"/>
        <v>247500.12406008574</v>
      </c>
      <c r="Z17" s="80">
        <f t="shared" si="24"/>
        <v>1.502543</v>
      </c>
      <c r="AA17" s="81">
        <f t="shared" si="25"/>
        <v>228785</v>
      </c>
      <c r="AB17" s="23">
        <f t="shared" si="26"/>
        <v>1.0818022338006676</v>
      </c>
    </row>
    <row r="18" spans="1:28" x14ac:dyDescent="0.35">
      <c r="A18" s="14" t="str">
        <f t="shared" si="28"/>
        <v>JCP</v>
      </c>
      <c r="B18" s="15" t="s">
        <v>20</v>
      </c>
      <c r="C18" s="16">
        <v>45986</v>
      </c>
      <c r="D18" s="16">
        <v>46003</v>
      </c>
      <c r="E18" s="89">
        <f t="shared" ref="E18:E19" si="29">148248084.52/1000</f>
        <v>148248.08452</v>
      </c>
      <c r="F18" s="90">
        <v>0.224999</v>
      </c>
      <c r="G18" s="89"/>
      <c r="H18" s="17"/>
      <c r="I18" s="89"/>
      <c r="J18" s="18"/>
      <c r="L18" s="6">
        <v>2025</v>
      </c>
      <c r="M18" s="6">
        <v>2025</v>
      </c>
      <c r="O18" s="10">
        <f t="shared" si="14"/>
        <v>2015</v>
      </c>
      <c r="P18" s="86">
        <f t="shared" si="15"/>
        <v>0</v>
      </c>
      <c r="Q18" s="11">
        <f t="shared" si="16"/>
        <v>365894.15567999997</v>
      </c>
      <c r="R18" s="86">
        <f t="shared" si="17"/>
        <v>365894.15567999997</v>
      </c>
      <c r="S18" s="87">
        <f t="shared" si="18"/>
        <v>0</v>
      </c>
      <c r="T18" s="87">
        <f t="shared" si="19"/>
        <v>2.2689779999999997</v>
      </c>
      <c r="V18" s="10">
        <f t="shared" si="20"/>
        <v>2015</v>
      </c>
      <c r="W18" s="88">
        <f t="shared" si="21"/>
        <v>0</v>
      </c>
      <c r="X18" s="12">
        <f t="shared" si="22"/>
        <v>334865.09512999997</v>
      </c>
      <c r="Y18" s="88">
        <f t="shared" si="23"/>
        <v>334865.09512999997</v>
      </c>
      <c r="Z18" s="87">
        <f t="shared" si="24"/>
        <v>2.0765609999999999</v>
      </c>
      <c r="AA18" s="88">
        <f t="shared" si="25"/>
        <v>271887</v>
      </c>
      <c r="AB18" s="13">
        <f t="shared" si="26"/>
        <v>1.231633344477669</v>
      </c>
    </row>
    <row r="19" spans="1:28" ht="16" thickBot="1" x14ac:dyDescent="0.4">
      <c r="A19" s="14" t="str">
        <f t="shared" si="28"/>
        <v>JCP</v>
      </c>
      <c r="B19" s="15" t="s">
        <v>20</v>
      </c>
      <c r="C19" s="16">
        <v>46009</v>
      </c>
      <c r="D19" s="16">
        <v>46021</v>
      </c>
      <c r="E19" s="89">
        <f t="shared" si="29"/>
        <v>148248.08452</v>
      </c>
      <c r="F19" s="90">
        <v>0.224999</v>
      </c>
      <c r="G19" s="89"/>
      <c r="H19" s="17"/>
      <c r="I19" s="89"/>
      <c r="J19" s="18"/>
      <c r="L19" s="6">
        <v>2025</v>
      </c>
      <c r="M19" s="6">
        <v>2025</v>
      </c>
      <c r="O19" s="20">
        <f t="shared" si="14"/>
        <v>2014</v>
      </c>
      <c r="P19" s="79">
        <f t="shared" si="15"/>
        <v>231689.82490897595</v>
      </c>
      <c r="Q19" s="21">
        <f t="shared" si="16"/>
        <v>195000.16409352483</v>
      </c>
      <c r="R19" s="79">
        <f t="shared" si="17"/>
        <v>426689.98900250078</v>
      </c>
      <c r="S19" s="80">
        <f t="shared" si="18"/>
        <v>1.506602</v>
      </c>
      <c r="T19" s="80">
        <f t="shared" si="19"/>
        <v>1.2197100000000001</v>
      </c>
      <c r="V19" s="20">
        <f t="shared" si="20"/>
        <v>2014</v>
      </c>
      <c r="W19" s="81">
        <f t="shared" si="21"/>
        <v>31689.740538975941</v>
      </c>
      <c r="X19" s="22">
        <f t="shared" si="22"/>
        <v>196029.08986352486</v>
      </c>
      <c r="Y19" s="81">
        <f t="shared" si="23"/>
        <v>227718.83040250081</v>
      </c>
      <c r="Z19" s="80">
        <f t="shared" si="24"/>
        <v>1.4121270000000001</v>
      </c>
      <c r="AA19" s="81">
        <f t="shared" si="25"/>
        <v>248140</v>
      </c>
      <c r="AB19" s="23">
        <f t="shared" si="26"/>
        <v>0.91770303216934312</v>
      </c>
    </row>
    <row r="20" spans="1:28" ht="16" thickBot="1" x14ac:dyDescent="0.4">
      <c r="A20" s="14" t="s">
        <v>53</v>
      </c>
      <c r="B20" s="82">
        <v>2024</v>
      </c>
      <c r="C20" s="83"/>
      <c r="D20" s="83"/>
      <c r="E20" s="84">
        <f>SUM(E21:E23)</f>
        <v>1555514.7649999999</v>
      </c>
      <c r="F20" s="85">
        <f>SUM(F21:F23)</f>
        <v>2.3608350000017602</v>
      </c>
      <c r="G20" s="84">
        <f>'[1]DRE IFRS'!$G$42*1000</f>
        <v>3498416.3703099997</v>
      </c>
      <c r="H20" s="8">
        <f>E20/G20</f>
        <v>0.44463397158816848</v>
      </c>
      <c r="I20" s="84">
        <v>2076570.9974200181</v>
      </c>
      <c r="J20" s="9">
        <f>E20/I20</f>
        <v>0.74907853713290273</v>
      </c>
      <c r="K20" s="5"/>
      <c r="O20" s="10">
        <f t="shared" si="14"/>
        <v>2013</v>
      </c>
      <c r="P20" s="86">
        <f t="shared" si="15"/>
        <v>0</v>
      </c>
      <c r="Q20" s="11">
        <f t="shared" si="16"/>
        <v>0</v>
      </c>
      <c r="R20" s="86">
        <f t="shared" si="17"/>
        <v>0</v>
      </c>
      <c r="S20" s="87">
        <f t="shared" si="18"/>
        <v>0</v>
      </c>
      <c r="T20" s="87">
        <f t="shared" si="19"/>
        <v>0</v>
      </c>
      <c r="V20" s="10">
        <f t="shared" si="20"/>
        <v>2013</v>
      </c>
      <c r="W20" s="88">
        <f t="shared" si="21"/>
        <v>200000.08437</v>
      </c>
      <c r="X20" s="12">
        <f t="shared" si="22"/>
        <v>30000.134779999993</v>
      </c>
      <c r="Y20" s="88">
        <f t="shared" si="23"/>
        <v>230000.21914999999</v>
      </c>
      <c r="Z20" s="87">
        <f t="shared" si="24"/>
        <v>1.506602</v>
      </c>
      <c r="AA20" s="88">
        <f t="shared" si="25"/>
        <v>-145400</v>
      </c>
      <c r="AB20" s="13" t="str">
        <f t="shared" si="26"/>
        <v>N/A</v>
      </c>
    </row>
    <row r="21" spans="1:28" x14ac:dyDescent="0.35">
      <c r="A21" s="14" t="str">
        <f t="shared" ref="A21:A23" si="30">LEFT(B21,10)</f>
        <v>JCP</v>
      </c>
      <c r="B21" s="15" t="s">
        <v>20</v>
      </c>
      <c r="C21" s="16">
        <v>45667</v>
      </c>
      <c r="D21" s="16">
        <v>45678</v>
      </c>
      <c r="E21" s="89">
        <v>518504.92166666663</v>
      </c>
      <c r="F21" s="90">
        <v>0.78694500000058676</v>
      </c>
      <c r="G21" s="89"/>
      <c r="H21" s="17"/>
      <c r="I21" s="89"/>
      <c r="J21" s="18"/>
      <c r="K21" s="5"/>
      <c r="L21" s="19">
        <f>YEAR(D21)</f>
        <v>2025</v>
      </c>
      <c r="M21" s="6">
        <v>2024</v>
      </c>
      <c r="N21" s="25"/>
      <c r="O21" s="20">
        <f t="shared" si="14"/>
        <v>2012</v>
      </c>
      <c r="P21" s="79">
        <f t="shared" si="15"/>
        <v>128108.0895128282</v>
      </c>
      <c r="Q21" s="21">
        <f t="shared" si="16"/>
        <v>348572.76195951999</v>
      </c>
      <c r="R21" s="79">
        <f t="shared" si="17"/>
        <v>476680.85147234821</v>
      </c>
      <c r="S21" s="80">
        <f t="shared" si="18"/>
        <v>0.83916400000000002</v>
      </c>
      <c r="T21" s="80">
        <f t="shared" si="19"/>
        <v>2.2833040000000002</v>
      </c>
      <c r="V21" s="20">
        <f t="shared" si="20"/>
        <v>2012</v>
      </c>
      <c r="W21" s="81">
        <f t="shared" si="21"/>
        <v>63949.929569099404</v>
      </c>
      <c r="X21" s="22">
        <f t="shared" si="22"/>
        <v>178730.81712095172</v>
      </c>
      <c r="Y21" s="81">
        <f t="shared" si="23"/>
        <v>242680.74669005111</v>
      </c>
      <c r="Z21" s="80">
        <f t="shared" si="24"/>
        <v>1.5896650000000001</v>
      </c>
      <c r="AA21" s="81">
        <f t="shared" si="25"/>
        <v>1004000</v>
      </c>
      <c r="AB21" s="23">
        <f t="shared" si="26"/>
        <v>0.24171389112554892</v>
      </c>
    </row>
    <row r="22" spans="1:28" x14ac:dyDescent="0.35">
      <c r="A22" s="14" t="str">
        <f t="shared" si="30"/>
        <v>JCP</v>
      </c>
      <c r="B22" s="15" t="s">
        <v>20</v>
      </c>
      <c r="C22" s="16">
        <v>45700</v>
      </c>
      <c r="D22" s="16">
        <v>45709</v>
      </c>
      <c r="E22" s="89">
        <v>518504.92166666663</v>
      </c>
      <c r="F22" s="90">
        <v>0.78694500000058676</v>
      </c>
      <c r="G22" s="89"/>
      <c r="H22" s="17"/>
      <c r="I22" s="89"/>
      <c r="J22" s="18"/>
      <c r="K22" s="5"/>
      <c r="L22" s="19">
        <f>YEAR(D22)</f>
        <v>2025</v>
      </c>
      <c r="M22" s="6">
        <v>2024</v>
      </c>
      <c r="N22" s="25"/>
      <c r="O22" s="10">
        <f t="shared" si="14"/>
        <v>2011</v>
      </c>
      <c r="P22" s="86">
        <f t="shared" si="15"/>
        <v>253409.09627822755</v>
      </c>
      <c r="Q22" s="11">
        <f t="shared" si="16"/>
        <v>643390.94117201155</v>
      </c>
      <c r="R22" s="86">
        <f t="shared" si="17"/>
        <v>896800.03745023906</v>
      </c>
      <c r="S22" s="87">
        <f t="shared" si="18"/>
        <v>1.6690430000000001</v>
      </c>
      <c r="T22" s="87">
        <f t="shared" si="19"/>
        <v>4.237603</v>
      </c>
      <c r="V22" s="10">
        <f t="shared" si="20"/>
        <v>2011</v>
      </c>
      <c r="W22" s="88">
        <f t="shared" si="21"/>
        <v>188847.40611372879</v>
      </c>
      <c r="X22" s="12">
        <f t="shared" si="22"/>
        <v>503138.44003945123</v>
      </c>
      <c r="Y22" s="88">
        <f t="shared" si="23"/>
        <v>691985.84615318</v>
      </c>
      <c r="Z22" s="87">
        <f t="shared" si="24"/>
        <v>4.5492609999999996</v>
      </c>
      <c r="AA22" s="88">
        <f t="shared" si="25"/>
        <v>805700</v>
      </c>
      <c r="AB22" s="13">
        <f t="shared" si="26"/>
        <v>0.85886290946156141</v>
      </c>
    </row>
    <row r="23" spans="1:28" x14ac:dyDescent="0.35">
      <c r="A23" s="14" t="str">
        <f t="shared" si="30"/>
        <v>JCP</v>
      </c>
      <c r="B23" s="15" t="s">
        <v>20</v>
      </c>
      <c r="C23" s="16">
        <v>45728</v>
      </c>
      <c r="D23" s="16">
        <v>45737</v>
      </c>
      <c r="E23" s="89">
        <v>518504.92166666663</v>
      </c>
      <c r="F23" s="90">
        <v>0.78694500000058676</v>
      </c>
      <c r="G23" s="89"/>
      <c r="H23" s="17"/>
      <c r="I23" s="89"/>
      <c r="J23" s="18"/>
      <c r="K23" s="5"/>
      <c r="L23" s="19">
        <f>YEAR(D23)</f>
        <v>2025</v>
      </c>
      <c r="M23" s="6">
        <v>2024</v>
      </c>
      <c r="N23" s="25"/>
      <c r="O23" s="20">
        <f t="shared" si="14"/>
        <v>2010</v>
      </c>
      <c r="P23" s="79">
        <f t="shared" si="15"/>
        <v>188565.86358539597</v>
      </c>
      <c r="Q23" s="21">
        <f t="shared" si="16"/>
        <v>578234.25287254399</v>
      </c>
      <c r="R23" s="79">
        <f t="shared" si="17"/>
        <v>766800.11645793996</v>
      </c>
      <c r="S23" s="80">
        <f t="shared" si="18"/>
        <v>1.245136</v>
      </c>
      <c r="T23" s="80">
        <f t="shared" si="19"/>
        <v>3.823372</v>
      </c>
      <c r="V23" s="20">
        <f t="shared" si="20"/>
        <v>2010</v>
      </c>
      <c r="W23" s="81">
        <f t="shared" si="21"/>
        <v>255365.56452052799</v>
      </c>
      <c r="X23" s="22">
        <f t="shared" si="22"/>
        <v>520046.14062267658</v>
      </c>
      <c r="Y23" s="81">
        <f t="shared" si="23"/>
        <v>775411.70514320454</v>
      </c>
      <c r="Z23" s="80">
        <f t="shared" si="24"/>
        <v>5.1071389999999992</v>
      </c>
      <c r="AA23" s="81">
        <f t="shared" si="25"/>
        <v>812171</v>
      </c>
      <c r="AB23" s="23">
        <f t="shared" si="26"/>
        <v>0.95473946390994568</v>
      </c>
    </row>
    <row r="24" spans="1:28" ht="16" thickBot="1" x14ac:dyDescent="0.4">
      <c r="A24" s="14"/>
      <c r="B24" s="15"/>
      <c r="C24" s="16"/>
      <c r="D24" s="16"/>
      <c r="E24" s="89"/>
      <c r="F24" s="90"/>
      <c r="G24" s="89"/>
      <c r="H24" s="17"/>
      <c r="I24" s="89"/>
      <c r="J24" s="18"/>
      <c r="K24" s="5"/>
      <c r="N24" s="25"/>
      <c r="O24" s="10">
        <f t="shared" si="14"/>
        <v>2009</v>
      </c>
      <c r="P24" s="86">
        <f t="shared" si="15"/>
        <v>250610.21806138218</v>
      </c>
      <c r="Q24" s="11">
        <f t="shared" si="16"/>
        <v>392677.45157172135</v>
      </c>
      <c r="R24" s="86">
        <f t="shared" si="17"/>
        <v>643287.66963310353</v>
      </c>
      <c r="S24" s="87">
        <f t="shared" si="18"/>
        <v>1.6712090000000002</v>
      </c>
      <c r="T24" s="87">
        <f t="shared" si="19"/>
        <v>2.6240790000000001</v>
      </c>
      <c r="V24" s="10">
        <f t="shared" si="20"/>
        <v>2009</v>
      </c>
      <c r="W24" s="88">
        <f t="shared" si="21"/>
        <v>312530.36723447766</v>
      </c>
      <c r="X24" s="12">
        <f t="shared" si="22"/>
        <v>532569.28258487326</v>
      </c>
      <c r="Y24" s="88">
        <f t="shared" si="23"/>
        <v>845099.64981935092</v>
      </c>
      <c r="Z24" s="87">
        <f t="shared" si="24"/>
        <v>5.6169479999999989</v>
      </c>
      <c r="AA24" s="88">
        <f t="shared" si="25"/>
        <v>861975</v>
      </c>
      <c r="AB24" s="13">
        <f t="shared" si="26"/>
        <v>0.98042245983856946</v>
      </c>
    </row>
    <row r="25" spans="1:28" ht="16" thickBot="1" x14ac:dyDescent="0.4">
      <c r="A25" s="14" t="s">
        <v>53</v>
      </c>
      <c r="B25" s="82">
        <v>2023</v>
      </c>
      <c r="C25" s="83"/>
      <c r="D25" s="83"/>
      <c r="E25" s="84">
        <f>SUM(E26:E27)</f>
        <v>1452233.48933</v>
      </c>
      <c r="F25" s="85">
        <f>SUM(F26:F27)</f>
        <v>2.2040829999996481</v>
      </c>
      <c r="G25" s="84">
        <v>2841116.8365800008</v>
      </c>
      <c r="H25" s="8">
        <f>E25/G25</f>
        <v>0.51114880973291066</v>
      </c>
      <c r="I25" s="84">
        <v>1942286</v>
      </c>
      <c r="J25" s="9">
        <f>E25/I25</f>
        <v>0.74769291923537518</v>
      </c>
      <c r="K25" s="91"/>
      <c r="N25" s="25"/>
      <c r="O25" s="20">
        <f t="shared" si="14"/>
        <v>2008</v>
      </c>
      <c r="P25" s="79">
        <f t="shared" si="15"/>
        <v>279020.74683174083</v>
      </c>
      <c r="Q25" s="21">
        <f t="shared" si="16"/>
        <v>436612.150475526</v>
      </c>
      <c r="R25" s="79">
        <f t="shared" si="17"/>
        <v>715632.89730726683</v>
      </c>
      <c r="S25" s="80">
        <f t="shared" si="18"/>
        <v>1.8690470000000001</v>
      </c>
      <c r="T25" s="80">
        <f t="shared" si="19"/>
        <v>2.9246880000000002</v>
      </c>
      <c r="V25" s="20">
        <f t="shared" si="20"/>
        <v>2008</v>
      </c>
      <c r="W25" s="81">
        <f t="shared" si="21"/>
        <v>239898.21484661315</v>
      </c>
      <c r="X25" s="22">
        <f t="shared" si="22"/>
        <v>495002.75264445657</v>
      </c>
      <c r="Y25" s="81">
        <f t="shared" si="23"/>
        <v>734900.96749106969</v>
      </c>
      <c r="Z25" s="80">
        <f t="shared" si="24"/>
        <v>4.9228040000000002</v>
      </c>
      <c r="AA25" s="81">
        <f t="shared" si="25"/>
        <v>827065</v>
      </c>
      <c r="AB25" s="23">
        <f t="shared" si="26"/>
        <v>0.88856494651698437</v>
      </c>
    </row>
    <row r="26" spans="1:28" x14ac:dyDescent="0.35">
      <c r="A26" s="14" t="str">
        <f t="shared" ref="A26:A27" si="31">LEFT(B26,10)</f>
        <v>JCP</v>
      </c>
      <c r="B26" s="15" t="s">
        <v>20</v>
      </c>
      <c r="C26" s="16">
        <v>45273</v>
      </c>
      <c r="D26" s="16">
        <v>45306</v>
      </c>
      <c r="E26" s="89">
        <v>159999.92713</v>
      </c>
      <c r="F26" s="90">
        <v>0.24283500000479599</v>
      </c>
      <c r="G26" s="89"/>
      <c r="H26" s="17"/>
      <c r="I26" s="89"/>
      <c r="J26" s="18"/>
      <c r="K26" s="26"/>
      <c r="L26" s="19">
        <f>YEAR(D26)</f>
        <v>2024</v>
      </c>
      <c r="M26" s="6">
        <v>2023</v>
      </c>
      <c r="O26" s="10">
        <f t="shared" si="14"/>
        <v>2007</v>
      </c>
      <c r="P26" s="86">
        <f t="shared" si="15"/>
        <v>226791.88448287919</v>
      </c>
      <c r="Q26" s="11">
        <f t="shared" si="16"/>
        <v>559356.99339199637</v>
      </c>
      <c r="R26" s="86">
        <f t="shared" si="17"/>
        <v>786148.87787487556</v>
      </c>
      <c r="S26" s="87">
        <f t="shared" si="18"/>
        <v>1.5191870000000001</v>
      </c>
      <c r="T26" s="87">
        <f t="shared" si="19"/>
        <v>3.7469060000000001</v>
      </c>
      <c r="V26" s="10">
        <f t="shared" si="20"/>
        <v>2007</v>
      </c>
      <c r="W26" s="88">
        <f t="shared" si="21"/>
        <v>238737.37441436955</v>
      </c>
      <c r="X26" s="12">
        <f t="shared" si="22"/>
        <v>668758.59059417085</v>
      </c>
      <c r="Y26" s="88">
        <f t="shared" si="23"/>
        <v>907495.96500854043</v>
      </c>
      <c r="Z26" s="87">
        <f t="shared" si="24"/>
        <v>6.0789480000000005</v>
      </c>
      <c r="AA26" s="88">
        <f t="shared" si="25"/>
        <v>855483</v>
      </c>
      <c r="AB26" s="13">
        <f t="shared" si="26"/>
        <v>1.0607995308013607</v>
      </c>
    </row>
    <row r="27" spans="1:28" x14ac:dyDescent="0.35">
      <c r="A27" s="14" t="str">
        <f t="shared" si="31"/>
        <v>JCP</v>
      </c>
      <c r="B27" s="15" t="s">
        <v>20</v>
      </c>
      <c r="C27" s="16">
        <v>45273</v>
      </c>
      <c r="D27" s="16">
        <v>45392</v>
      </c>
      <c r="E27" s="89">
        <v>1292233.5622</v>
      </c>
      <c r="F27" s="90">
        <v>1.961247999994852</v>
      </c>
      <c r="G27" s="89"/>
      <c r="H27" s="17"/>
      <c r="I27" s="89"/>
      <c r="J27" s="18"/>
      <c r="K27" s="92"/>
      <c r="L27" s="19">
        <f>YEAR(D27)</f>
        <v>2024</v>
      </c>
      <c r="M27" s="6">
        <v>2023</v>
      </c>
      <c r="O27" s="20">
        <f t="shared" si="14"/>
        <v>2006</v>
      </c>
      <c r="P27" s="79">
        <f t="shared" si="15"/>
        <v>89999.91691203705</v>
      </c>
      <c r="Q27" s="21">
        <f t="shared" si="16"/>
        <v>97299.955124062821</v>
      </c>
      <c r="R27" s="79">
        <f t="shared" si="17"/>
        <v>187299.87203609987</v>
      </c>
      <c r="S27" s="80">
        <f t="shared" si="18"/>
        <v>0.60287299999999999</v>
      </c>
      <c r="T27" s="80">
        <f t="shared" si="19"/>
        <v>0.65177300000000005</v>
      </c>
      <c r="V27" s="20">
        <f t="shared" si="20"/>
        <v>2006</v>
      </c>
      <c r="W27" s="81">
        <f t="shared" si="21"/>
        <v>27177.042053637368</v>
      </c>
      <c r="X27" s="22">
        <f t="shared" si="22"/>
        <v>157898.4829608023</v>
      </c>
      <c r="Y27" s="81">
        <f t="shared" si="23"/>
        <v>185075.52501443966</v>
      </c>
      <c r="Z27" s="80">
        <f t="shared" si="24"/>
        <v>1.239746</v>
      </c>
      <c r="AA27" s="81">
        <f t="shared" si="25"/>
        <v>117752</v>
      </c>
      <c r="AB27" s="23">
        <f t="shared" si="26"/>
        <v>1.5717399705689896</v>
      </c>
    </row>
    <row r="28" spans="1:28" ht="16" thickBot="1" x14ac:dyDescent="0.4">
      <c r="A28" s="14"/>
      <c r="B28" s="15"/>
      <c r="C28" s="16"/>
      <c r="D28" s="16"/>
      <c r="E28" s="89"/>
      <c r="F28" s="90"/>
      <c r="G28" s="89"/>
      <c r="H28" s="17"/>
      <c r="I28" s="89"/>
      <c r="J28" s="18"/>
      <c r="O28" s="10">
        <f t="shared" si="14"/>
        <v>2005</v>
      </c>
      <c r="P28" s="86">
        <f t="shared" si="15"/>
        <v>224353.85086210462</v>
      </c>
      <c r="Q28" s="11">
        <f t="shared" si="16"/>
        <v>0</v>
      </c>
      <c r="R28" s="86">
        <f t="shared" si="17"/>
        <v>224353.85086210462</v>
      </c>
      <c r="S28" s="87">
        <f t="shared" si="18"/>
        <v>1.5028556000000002</v>
      </c>
      <c r="T28" s="87">
        <f t="shared" si="19"/>
        <v>0</v>
      </c>
      <c r="V28" s="10">
        <f t="shared" si="20"/>
        <v>2005</v>
      </c>
      <c r="W28" s="88">
        <f t="shared" si="21"/>
        <v>239353.77232392895</v>
      </c>
      <c r="X28" s="12">
        <f t="shared" si="22"/>
        <v>0</v>
      </c>
      <c r="Y28" s="88">
        <f t="shared" si="23"/>
        <v>239353.77232392895</v>
      </c>
      <c r="Z28" s="87">
        <f t="shared" si="24"/>
        <v>1.603334</v>
      </c>
      <c r="AA28" s="88">
        <f t="shared" si="25"/>
        <v>468277</v>
      </c>
      <c r="AB28" s="13">
        <f t="shared" si="26"/>
        <v>0.51113715242031732</v>
      </c>
    </row>
    <row r="29" spans="1:28" s="25" customFormat="1" ht="16" thickBot="1" x14ac:dyDescent="0.4">
      <c r="A29" s="14" t="s">
        <v>53</v>
      </c>
      <c r="B29" s="82">
        <v>2022</v>
      </c>
      <c r="C29" s="83"/>
      <c r="D29" s="83"/>
      <c r="E29" s="84">
        <f>SUM(E30:E31)</f>
        <v>700000.25769999996</v>
      </c>
      <c r="F29" s="85">
        <f>SUM(F30:F31)</f>
        <v>1.0624039999999999</v>
      </c>
      <c r="G29" s="84">
        <v>2262244.9482499068</v>
      </c>
      <c r="H29" s="8">
        <f>E29/G29</f>
        <v>0.30942726084614602</v>
      </c>
      <c r="I29" s="84">
        <v>936887.00000000035</v>
      </c>
      <c r="J29" s="9">
        <f>E29/I29</f>
        <v>0.74715548161090894</v>
      </c>
      <c r="K29" s="91"/>
      <c r="L29" s="19"/>
      <c r="M29" s="19"/>
      <c r="O29" s="20">
        <f t="shared" si="14"/>
        <v>2004</v>
      </c>
      <c r="P29" s="79">
        <f t="shared" si="15"/>
        <v>147248.99613225434</v>
      </c>
      <c r="Q29" s="21">
        <f t="shared" si="16"/>
        <v>0</v>
      </c>
      <c r="R29" s="79">
        <f t="shared" si="17"/>
        <v>147248.99613225434</v>
      </c>
      <c r="S29" s="80">
        <f t="shared" si="18"/>
        <v>0.98636140000000005</v>
      </c>
      <c r="T29" s="80">
        <f t="shared" si="19"/>
        <v>0</v>
      </c>
      <c r="U29" s="7"/>
      <c r="V29" s="20">
        <f t="shared" si="20"/>
        <v>2004</v>
      </c>
      <c r="W29" s="81">
        <f t="shared" si="21"/>
        <v>74999.995450212722</v>
      </c>
      <c r="X29" s="22">
        <f t="shared" si="22"/>
        <v>0</v>
      </c>
      <c r="Y29" s="81">
        <f t="shared" si="23"/>
        <v>74999.995450212722</v>
      </c>
      <c r="Z29" s="80">
        <f t="shared" si="24"/>
        <v>0.50239460000000002</v>
      </c>
      <c r="AA29" s="81">
        <f t="shared" si="25"/>
        <v>348778</v>
      </c>
      <c r="AB29" s="23">
        <f t="shared" si="26"/>
        <v>0.21503648581680243</v>
      </c>
    </row>
    <row r="30" spans="1:28" s="25" customFormat="1" x14ac:dyDescent="0.35">
      <c r="A30" s="14" t="str">
        <f t="shared" ref="A30" si="32">LEFT(B30,10)</f>
        <v>JCP</v>
      </c>
      <c r="B30" s="15" t="s">
        <v>20</v>
      </c>
      <c r="C30" s="16">
        <v>44922</v>
      </c>
      <c r="D30" s="16">
        <v>45027</v>
      </c>
      <c r="E30" s="89">
        <v>700000.25769999996</v>
      </c>
      <c r="F30" s="90">
        <v>1.0624039999999999</v>
      </c>
      <c r="G30" s="89"/>
      <c r="H30" s="17"/>
      <c r="I30" s="89"/>
      <c r="J30" s="18"/>
      <c r="K30" s="92"/>
      <c r="L30" s="19">
        <f>YEAR(D30)</f>
        <v>2023</v>
      </c>
      <c r="M30" s="19">
        <v>2022</v>
      </c>
      <c r="O30" s="10">
        <f t="shared" si="14"/>
        <v>2003</v>
      </c>
      <c r="P30" s="86">
        <f t="shared" si="15"/>
        <v>49999.88749111614</v>
      </c>
      <c r="Q30" s="11">
        <f t="shared" si="16"/>
        <v>12782.068339187106</v>
      </c>
      <c r="R30" s="86">
        <f t="shared" si="17"/>
        <v>62781.955830303246</v>
      </c>
      <c r="S30" s="87">
        <f t="shared" si="18"/>
        <v>0.33492899999999998</v>
      </c>
      <c r="T30" s="87">
        <f t="shared" si="19"/>
        <v>8.5621900000000001E-2</v>
      </c>
      <c r="U30" s="7"/>
      <c r="V30" s="10">
        <f t="shared" si="20"/>
        <v>2003</v>
      </c>
      <c r="W30" s="88">
        <f t="shared" si="21"/>
        <v>147248.99613225434</v>
      </c>
      <c r="X30" s="12">
        <f t="shared" si="22"/>
        <v>0</v>
      </c>
      <c r="Y30" s="88">
        <f t="shared" si="23"/>
        <v>147248.99613225434</v>
      </c>
      <c r="Z30" s="87">
        <f t="shared" si="24"/>
        <v>0.98636140000000005</v>
      </c>
      <c r="AA30" s="88">
        <f t="shared" si="25"/>
        <v>222376</v>
      </c>
      <c r="AB30" s="13">
        <f t="shared" si="26"/>
        <v>0.66216226630686015</v>
      </c>
    </row>
    <row r="31" spans="1:28" s="25" customFormat="1" ht="16" thickBot="1" x14ac:dyDescent="0.4">
      <c r="A31" s="14"/>
      <c r="B31" s="15"/>
      <c r="C31" s="16"/>
      <c r="D31" s="16"/>
      <c r="E31" s="89"/>
      <c r="F31" s="90"/>
      <c r="G31" s="89"/>
      <c r="H31" s="17"/>
      <c r="I31" s="89"/>
      <c r="J31" s="18"/>
      <c r="L31" s="19"/>
      <c r="M31" s="19"/>
      <c r="O31" s="20">
        <f t="shared" si="14"/>
        <v>2002</v>
      </c>
      <c r="P31" s="79">
        <f t="shared" si="15"/>
        <v>86352.883506724407</v>
      </c>
      <c r="Q31" s="21">
        <f t="shared" si="16"/>
        <v>0</v>
      </c>
      <c r="R31" s="79">
        <f t="shared" si="17"/>
        <v>86352.883506724407</v>
      </c>
      <c r="S31" s="80">
        <f t="shared" si="18"/>
        <v>0.57844300000000004</v>
      </c>
      <c r="T31" s="80">
        <f t="shared" si="19"/>
        <v>0</v>
      </c>
      <c r="U31" s="7"/>
      <c r="V31" s="20">
        <f t="shared" si="20"/>
        <v>2002</v>
      </c>
      <c r="W31" s="81">
        <f t="shared" si="21"/>
        <v>136352.77099784056</v>
      </c>
      <c r="X31" s="22">
        <f t="shared" si="22"/>
        <v>12782.06833918707</v>
      </c>
      <c r="Y31" s="81">
        <f t="shared" si="23"/>
        <v>149134.83933702763</v>
      </c>
      <c r="Z31" s="80">
        <f t="shared" si="24"/>
        <v>0.99899389999999988</v>
      </c>
      <c r="AA31" s="81">
        <f t="shared" si="25"/>
        <v>168137</v>
      </c>
      <c r="AB31" s="23">
        <f t="shared" si="26"/>
        <v>0.88698406262171703</v>
      </c>
    </row>
    <row r="32" spans="1:28" s="25" customFormat="1" ht="16" thickBot="1" x14ac:dyDescent="0.4">
      <c r="A32" s="14" t="s">
        <v>53</v>
      </c>
      <c r="B32" s="82">
        <v>2021</v>
      </c>
      <c r="C32" s="83"/>
      <c r="D32" s="83"/>
      <c r="E32" s="84">
        <f>SUM(E33:E37)</f>
        <v>1840191.8853199999</v>
      </c>
      <c r="F32" s="85">
        <f>SUM(F33:F37)</f>
        <v>2.7928950000000001</v>
      </c>
      <c r="G32" s="84">
        <v>3018599.1695399997</v>
      </c>
      <c r="H32" s="8">
        <f>E32/G32</f>
        <v>0.60961783329464847</v>
      </c>
      <c r="I32" s="84">
        <v>877567</v>
      </c>
      <c r="J32" s="9">
        <f>E32/I32</f>
        <v>2.0969246625271913</v>
      </c>
      <c r="K32" s="91"/>
      <c r="L32" s="19"/>
      <c r="M32" s="19"/>
      <c r="O32" s="27" t="s">
        <v>23</v>
      </c>
      <c r="P32" s="28">
        <f>SUM(P7:P31)</f>
        <v>9312893.251445666</v>
      </c>
      <c r="Q32" s="28">
        <f>SUM(Q7:Q31)</f>
        <v>8724131.1286725607</v>
      </c>
      <c r="R32" s="28">
        <f>SUM(R7:R31)</f>
        <v>18037024.380118225</v>
      </c>
      <c r="S32" s="93">
        <f>SUM(S7:S31)</f>
        <v>27.882248000001404</v>
      </c>
      <c r="T32" s="93">
        <f>SUM(T7:T31)</f>
        <v>41.732644900000004</v>
      </c>
      <c r="U32" s="7"/>
      <c r="V32" s="29" t="s">
        <v>23</v>
      </c>
      <c r="W32" s="30">
        <f>SUM(W7:W31)</f>
        <v>9312893.2514456678</v>
      </c>
      <c r="X32" s="30">
        <f>SUM(X7:X31)</f>
        <v>8724131.1286725588</v>
      </c>
      <c r="Y32" s="30">
        <f>SUM(Y7:Y31)</f>
        <v>18037024.380118228</v>
      </c>
      <c r="Z32" s="93">
        <f>SUM(Z7:Z31)</f>
        <v>69.614892900001408</v>
      </c>
      <c r="AA32" s="30">
        <f>SUM(AA7:AA31)</f>
        <v>19670203.873900019</v>
      </c>
      <c r="AB32" s="31">
        <f t="shared" si="26"/>
        <v>0.91697190815857166</v>
      </c>
    </row>
    <row r="33" spans="1:28" s="25" customFormat="1" x14ac:dyDescent="0.35">
      <c r="A33" s="14" t="str">
        <f t="shared" ref="A33:A37" si="33">LEFT(B33,10)</f>
        <v>JCP</v>
      </c>
      <c r="B33" s="15" t="s">
        <v>20</v>
      </c>
      <c r="C33" s="16">
        <v>44553</v>
      </c>
      <c r="D33" s="16">
        <v>44579</v>
      </c>
      <c r="E33" s="89">
        <v>114577.17103</v>
      </c>
      <c r="F33" s="90">
        <v>0.173896</v>
      </c>
      <c r="G33" s="89"/>
      <c r="H33" s="17"/>
      <c r="I33" s="89"/>
      <c r="J33" s="18"/>
      <c r="K33" s="92"/>
      <c r="L33" s="19">
        <f>YEAR(D33)</f>
        <v>2022</v>
      </c>
      <c r="M33" s="19">
        <v>2021</v>
      </c>
      <c r="P33" s="98">
        <f>P32+Q32-E164</f>
        <v>0</v>
      </c>
      <c r="R33" s="98">
        <f>R32-E164</f>
        <v>0</v>
      </c>
      <c r="S33" s="100">
        <f>S32+T32-F164</f>
        <v>0</v>
      </c>
      <c r="W33" s="98">
        <f t="shared" ref="W33:X33" si="34">W32-P32</f>
        <v>0</v>
      </c>
      <c r="X33" s="98">
        <f t="shared" si="34"/>
        <v>0</v>
      </c>
      <c r="Y33" s="98">
        <f>Y32-R32</f>
        <v>0</v>
      </c>
      <c r="Z33" s="97">
        <f>SUM(S32:T32)-Z32</f>
        <v>0</v>
      </c>
    </row>
    <row r="34" spans="1:28" s="25" customFormat="1" x14ac:dyDescent="0.35">
      <c r="A34" s="14" t="str">
        <f t="shared" si="33"/>
        <v>Dividendos</v>
      </c>
      <c r="B34" s="15" t="s">
        <v>21</v>
      </c>
      <c r="C34" s="16">
        <v>44503</v>
      </c>
      <c r="D34" s="16">
        <v>44516</v>
      </c>
      <c r="E34" s="89">
        <f>348803596.77/1000</f>
        <v>348803.59677</v>
      </c>
      <c r="F34" s="90">
        <v>0.52938600000000002</v>
      </c>
      <c r="G34" s="89"/>
      <c r="H34" s="17"/>
      <c r="I34" s="89"/>
      <c r="J34" s="18"/>
      <c r="K34" s="92"/>
      <c r="L34" s="19">
        <f>YEAR(D34)</f>
        <v>2021</v>
      </c>
      <c r="M34" s="19">
        <v>2021</v>
      </c>
    </row>
    <row r="35" spans="1:28" s="25" customFormat="1" x14ac:dyDescent="0.35">
      <c r="A35" s="14" t="str">
        <f t="shared" si="33"/>
        <v>JCP</v>
      </c>
      <c r="B35" s="15" t="s">
        <v>20</v>
      </c>
      <c r="C35" s="16">
        <v>44504</v>
      </c>
      <c r="D35" s="16">
        <v>44517</v>
      </c>
      <c r="E35" s="89">
        <f>514531855.34/1000</f>
        <v>514531.85533999995</v>
      </c>
      <c r="F35" s="90">
        <v>0.78091500000000003</v>
      </c>
      <c r="G35" s="89"/>
      <c r="H35" s="17"/>
      <c r="I35" s="89"/>
      <c r="J35" s="18"/>
      <c r="K35" s="92"/>
      <c r="L35" s="19">
        <f>YEAR(D35)</f>
        <v>2021</v>
      </c>
      <c r="M35" s="19">
        <v>2021</v>
      </c>
    </row>
    <row r="36" spans="1:28" s="25" customFormat="1" x14ac:dyDescent="0.35">
      <c r="A36" s="14" t="str">
        <f t="shared" si="33"/>
        <v>Dividendos</v>
      </c>
      <c r="B36" s="15" t="s">
        <v>21</v>
      </c>
      <c r="C36" s="16">
        <v>44384</v>
      </c>
      <c r="D36" s="16">
        <v>44392</v>
      </c>
      <c r="E36" s="89">
        <f>331116533.36/1000</f>
        <v>331116.53336</v>
      </c>
      <c r="F36" s="90">
        <v>0.50254200000000004</v>
      </c>
      <c r="G36" s="89"/>
      <c r="H36" s="17"/>
      <c r="I36" s="89"/>
      <c r="J36" s="18"/>
      <c r="K36" s="92"/>
      <c r="L36" s="19">
        <f>YEAR(D36)</f>
        <v>2021</v>
      </c>
      <c r="M36" s="19">
        <v>2021</v>
      </c>
    </row>
    <row r="37" spans="1:28" s="25" customFormat="1" x14ac:dyDescent="0.35">
      <c r="A37" s="14" t="str">
        <f t="shared" si="33"/>
        <v>Dividendos</v>
      </c>
      <c r="B37" s="15" t="s">
        <v>22</v>
      </c>
      <c r="C37" s="16">
        <v>44253</v>
      </c>
      <c r="D37" s="16">
        <v>44337</v>
      </c>
      <c r="E37" s="89">
        <f>531162728.82/1000</f>
        <v>531162.72881999996</v>
      </c>
      <c r="F37" s="90">
        <v>0.80615599999999998</v>
      </c>
      <c r="G37" s="89"/>
      <c r="H37" s="17"/>
      <c r="I37" s="89"/>
      <c r="J37" s="18"/>
      <c r="K37" s="92"/>
      <c r="L37" s="19">
        <f>YEAR(D37)</f>
        <v>2021</v>
      </c>
      <c r="M37" s="19">
        <v>2021</v>
      </c>
    </row>
    <row r="38" spans="1:28" ht="16" thickBot="1" x14ac:dyDescent="0.4">
      <c r="A38" s="14"/>
      <c r="B38" s="15"/>
      <c r="C38" s="16"/>
      <c r="D38" s="16"/>
      <c r="E38" s="89"/>
      <c r="F38" s="90"/>
      <c r="G38" s="89"/>
      <c r="H38" s="17"/>
      <c r="I38" s="89"/>
      <c r="J38" s="18"/>
      <c r="L38" s="19"/>
      <c r="M38" s="19"/>
    </row>
    <row r="39" spans="1:28" ht="16" thickBot="1" x14ac:dyDescent="0.4">
      <c r="A39" s="14" t="s">
        <v>53</v>
      </c>
      <c r="B39" s="82">
        <v>2020</v>
      </c>
      <c r="C39" s="83"/>
      <c r="D39" s="83"/>
      <c r="E39" s="84">
        <f>SUM(E40:E45)</f>
        <v>1670629.4192249682</v>
      </c>
      <c r="F39" s="85">
        <f>SUM(F40:F45)</f>
        <v>2.5355469999999998</v>
      </c>
      <c r="G39" s="84">
        <v>3361503</v>
      </c>
      <c r="H39" s="8">
        <f>E39/G39</f>
        <v>0.49698882292384333</v>
      </c>
      <c r="I39" s="84">
        <v>2002390</v>
      </c>
      <c r="J39" s="9">
        <f>E39/I39</f>
        <v>0.83431769996103067</v>
      </c>
      <c r="K39" s="91"/>
      <c r="L39" s="19"/>
      <c r="M39" s="19"/>
    </row>
    <row r="40" spans="1:28" x14ac:dyDescent="0.35">
      <c r="A40" s="14" t="str">
        <f t="shared" ref="A40:A45" si="35">LEFT(B40,10)</f>
        <v>Dividendos</v>
      </c>
      <c r="B40" s="15" t="s">
        <v>22</v>
      </c>
      <c r="C40" s="16">
        <v>44286</v>
      </c>
      <c r="D40" s="16">
        <v>44337</v>
      </c>
      <c r="E40" s="89">
        <v>524449.36683496798</v>
      </c>
      <c r="F40" s="90">
        <v>0.79596699999999998</v>
      </c>
      <c r="G40" s="89"/>
      <c r="H40" s="17"/>
      <c r="I40" s="89"/>
      <c r="J40" s="18"/>
      <c r="K40" s="92"/>
      <c r="L40" s="19">
        <f t="shared" ref="L40:L45" si="36">YEAR(D40)</f>
        <v>2021</v>
      </c>
      <c r="M40" s="19">
        <v>2020</v>
      </c>
    </row>
    <row r="41" spans="1:28" x14ac:dyDescent="0.35">
      <c r="A41" s="14" t="str">
        <f t="shared" si="35"/>
        <v>Dividendos</v>
      </c>
      <c r="B41" s="15" t="s">
        <v>21</v>
      </c>
      <c r="C41" s="16">
        <v>44182</v>
      </c>
      <c r="D41" s="16">
        <v>44214</v>
      </c>
      <c r="E41" s="89">
        <f>115999700.09/1000</f>
        <v>115999.70009</v>
      </c>
      <c r="F41" s="90">
        <v>0.17605499999999999</v>
      </c>
      <c r="G41" s="89"/>
      <c r="H41" s="17"/>
      <c r="I41" s="89"/>
      <c r="J41" s="18"/>
      <c r="K41" s="92"/>
      <c r="L41" s="19">
        <f t="shared" si="36"/>
        <v>2021</v>
      </c>
      <c r="M41" s="19">
        <v>2020</v>
      </c>
      <c r="V41" s="33"/>
      <c r="W41" s="33"/>
      <c r="X41" s="33"/>
      <c r="Y41" s="34"/>
      <c r="AA41" s="34"/>
      <c r="AB41" s="35"/>
    </row>
    <row r="42" spans="1:28" s="25" customFormat="1" x14ac:dyDescent="0.35">
      <c r="A42" s="14" t="str">
        <f t="shared" si="35"/>
        <v>JCP</v>
      </c>
      <c r="B42" s="15" t="s">
        <v>20</v>
      </c>
      <c r="C42" s="16">
        <v>44182</v>
      </c>
      <c r="D42" s="16">
        <v>44214</v>
      </c>
      <c r="E42" s="89">
        <f>435847352.3/1000</f>
        <v>435847.35230000003</v>
      </c>
      <c r="F42" s="90">
        <v>0.66149400000000003</v>
      </c>
      <c r="G42" s="89"/>
      <c r="H42" s="17"/>
      <c r="I42" s="89"/>
      <c r="J42" s="18"/>
      <c r="K42" s="92"/>
      <c r="L42" s="19">
        <f t="shared" si="36"/>
        <v>2021</v>
      </c>
      <c r="M42" s="19">
        <v>2020</v>
      </c>
      <c r="U42" s="7"/>
    </row>
    <row r="43" spans="1:28" s="25" customFormat="1" x14ac:dyDescent="0.35">
      <c r="A43" s="14" t="str">
        <f t="shared" si="35"/>
        <v>Dividendos</v>
      </c>
      <c r="B43" s="15" t="s">
        <v>21</v>
      </c>
      <c r="C43" s="16">
        <v>44140</v>
      </c>
      <c r="D43" s="16">
        <v>44148</v>
      </c>
      <c r="E43" s="89">
        <v>344000</v>
      </c>
      <c r="F43" s="90">
        <v>0.52209499999999998</v>
      </c>
      <c r="G43" s="89"/>
      <c r="H43" s="17"/>
      <c r="I43" s="89"/>
      <c r="J43" s="18"/>
      <c r="L43" s="19">
        <f t="shared" si="36"/>
        <v>2020</v>
      </c>
      <c r="M43" s="19">
        <v>2020</v>
      </c>
      <c r="U43" s="7"/>
    </row>
    <row r="44" spans="1:28" s="25" customFormat="1" x14ac:dyDescent="0.35">
      <c r="A44" s="14" t="str">
        <f t="shared" si="35"/>
        <v>Dividendos</v>
      </c>
      <c r="B44" s="15" t="s">
        <v>21</v>
      </c>
      <c r="C44" s="16">
        <v>44019</v>
      </c>
      <c r="D44" s="16">
        <v>44028</v>
      </c>
      <c r="E44" s="89">
        <v>100000</v>
      </c>
      <c r="F44" s="90">
        <v>0.15177199999999999</v>
      </c>
      <c r="G44" s="89"/>
      <c r="H44" s="17"/>
      <c r="I44" s="89"/>
      <c r="J44" s="18"/>
      <c r="L44" s="19">
        <f t="shared" si="36"/>
        <v>2020</v>
      </c>
      <c r="M44" s="19">
        <v>2020</v>
      </c>
      <c r="U44" s="7"/>
    </row>
    <row r="45" spans="1:28" s="25" customFormat="1" x14ac:dyDescent="0.35">
      <c r="A45" s="14" t="str">
        <f t="shared" si="35"/>
        <v>JCP</v>
      </c>
      <c r="B45" s="15" t="s">
        <v>20</v>
      </c>
      <c r="C45" s="16">
        <v>43938</v>
      </c>
      <c r="D45" s="16">
        <v>43950</v>
      </c>
      <c r="E45" s="89">
        <v>150333</v>
      </c>
      <c r="F45" s="90">
        <v>0.22816400000000001</v>
      </c>
      <c r="G45" s="89"/>
      <c r="H45" s="17"/>
      <c r="I45" s="89"/>
      <c r="J45" s="18"/>
      <c r="L45" s="19">
        <f t="shared" si="36"/>
        <v>2020</v>
      </c>
      <c r="M45" s="19">
        <v>2020</v>
      </c>
      <c r="U45" s="7"/>
    </row>
    <row r="46" spans="1:28" s="25" customFormat="1" ht="16" thickBot="1" x14ac:dyDescent="0.4">
      <c r="A46" s="14"/>
      <c r="B46" s="15"/>
      <c r="C46" s="16"/>
      <c r="D46" s="16"/>
      <c r="E46" s="89"/>
      <c r="F46" s="90"/>
      <c r="G46" s="89"/>
      <c r="H46" s="17"/>
      <c r="I46" s="89"/>
      <c r="J46" s="18"/>
      <c r="L46" s="19"/>
      <c r="M46" s="19"/>
      <c r="O46" s="33"/>
      <c r="P46" s="33"/>
      <c r="Q46" s="33"/>
      <c r="U46" s="7"/>
      <c r="V46" s="33"/>
      <c r="W46" s="33"/>
      <c r="X46" s="33"/>
      <c r="AB46" s="36"/>
    </row>
    <row r="47" spans="1:28" s="25" customFormat="1" ht="16" thickBot="1" x14ac:dyDescent="0.4">
      <c r="A47" s="14" t="s">
        <v>53</v>
      </c>
      <c r="B47" s="82">
        <v>2019</v>
      </c>
      <c r="C47" s="83"/>
      <c r="D47" s="83"/>
      <c r="E47" s="84">
        <f>SUM(E48:E51)</f>
        <v>995260.36165999994</v>
      </c>
      <c r="F47" s="85">
        <f>SUM(F48:F51)</f>
        <v>1.510526</v>
      </c>
      <c r="G47" s="84">
        <v>1762631</v>
      </c>
      <c r="H47" s="8">
        <f>E47/G47</f>
        <v>0.564644762097115</v>
      </c>
      <c r="I47" s="84">
        <v>1221830</v>
      </c>
      <c r="J47" s="9">
        <f>E47/I47</f>
        <v>0.81456533368799255</v>
      </c>
      <c r="K47" s="91"/>
      <c r="L47" s="19"/>
      <c r="M47" s="19"/>
      <c r="O47" s="33"/>
      <c r="P47" s="33"/>
      <c r="Q47" s="33"/>
      <c r="U47" s="7"/>
      <c r="V47" s="33"/>
      <c r="W47" s="33"/>
      <c r="X47" s="33"/>
      <c r="AB47" s="36"/>
    </row>
    <row r="48" spans="1:28" s="25" customFormat="1" x14ac:dyDescent="0.35">
      <c r="A48" s="14" t="str">
        <f t="shared" ref="A48:A51" si="37">LEFT(B48,10)</f>
        <v>JCP</v>
      </c>
      <c r="B48" s="15" t="s">
        <v>20</v>
      </c>
      <c r="C48" s="16">
        <v>43815</v>
      </c>
      <c r="D48" s="16">
        <v>43850</v>
      </c>
      <c r="E48" s="89">
        <v>107845.36032000001</v>
      </c>
      <c r="F48" s="90">
        <v>0.16367899999999999</v>
      </c>
      <c r="G48" s="89"/>
      <c r="H48" s="17"/>
      <c r="I48" s="89"/>
      <c r="J48" s="18"/>
      <c r="K48" s="92"/>
      <c r="L48" s="19">
        <f>YEAR(D48)</f>
        <v>2020</v>
      </c>
      <c r="M48" s="19">
        <v>2019</v>
      </c>
      <c r="O48" s="32"/>
      <c r="P48" s="32"/>
      <c r="Q48" s="32"/>
      <c r="R48" s="7"/>
      <c r="S48" s="7"/>
      <c r="T48" s="7"/>
      <c r="U48" s="7"/>
      <c r="V48" s="32"/>
      <c r="W48" s="32"/>
      <c r="X48" s="32"/>
      <c r="Y48" s="7"/>
      <c r="Z48" s="7"/>
      <c r="AA48" s="7"/>
      <c r="AB48" s="37"/>
    </row>
    <row r="49" spans="1:15" x14ac:dyDescent="0.35">
      <c r="A49" s="14" t="str">
        <f t="shared" si="37"/>
        <v>Dividendos</v>
      </c>
      <c r="B49" s="15" t="s">
        <v>21</v>
      </c>
      <c r="C49" s="16">
        <v>43780</v>
      </c>
      <c r="D49" s="16">
        <v>43802</v>
      </c>
      <c r="E49" s="89">
        <f>293555572.85/1000</f>
        <v>293555.57285</v>
      </c>
      <c r="F49" s="90">
        <v>0.44553500000000001</v>
      </c>
      <c r="G49" s="89"/>
      <c r="H49" s="17"/>
      <c r="I49" s="89"/>
      <c r="J49" s="18"/>
      <c r="K49" s="92"/>
      <c r="L49" s="19">
        <f>YEAR(D49)</f>
        <v>2019</v>
      </c>
      <c r="M49" s="19">
        <v>2019</v>
      </c>
    </row>
    <row r="50" spans="1:15" x14ac:dyDescent="0.35">
      <c r="A50" s="14" t="str">
        <f t="shared" si="37"/>
        <v>JCP</v>
      </c>
      <c r="B50" s="15" t="s">
        <v>20</v>
      </c>
      <c r="C50" s="16">
        <v>43780</v>
      </c>
      <c r="D50" s="16">
        <v>43802</v>
      </c>
      <c r="E50" s="89">
        <v>223444.45934999999</v>
      </c>
      <c r="F50" s="90">
        <v>0.33912599999999998</v>
      </c>
      <c r="G50" s="89"/>
      <c r="H50" s="17"/>
      <c r="I50" s="89"/>
      <c r="J50" s="18"/>
      <c r="K50" s="92"/>
      <c r="L50" s="19">
        <f>YEAR(D50)</f>
        <v>2019</v>
      </c>
      <c r="M50" s="19">
        <v>2019</v>
      </c>
    </row>
    <row r="51" spans="1:15" x14ac:dyDescent="0.35">
      <c r="A51" s="14" t="str">
        <f t="shared" si="37"/>
        <v>JCP</v>
      </c>
      <c r="B51" s="15" t="s">
        <v>20</v>
      </c>
      <c r="C51" s="16">
        <v>43682</v>
      </c>
      <c r="D51" s="16">
        <v>43696</v>
      </c>
      <c r="E51" s="89">
        <f>370414969.14/1000</f>
        <v>370414.96914</v>
      </c>
      <c r="F51" s="90">
        <v>0.56218599999999996</v>
      </c>
      <c r="G51" s="89"/>
      <c r="H51" s="17"/>
      <c r="I51" s="89"/>
      <c r="J51" s="18"/>
      <c r="K51" s="92"/>
      <c r="L51" s="19">
        <f>YEAR(D51)</f>
        <v>2019</v>
      </c>
      <c r="M51" s="19">
        <v>2019</v>
      </c>
    </row>
    <row r="52" spans="1:15" ht="16" thickBot="1" x14ac:dyDescent="0.4">
      <c r="A52" s="14"/>
      <c r="B52" s="15"/>
      <c r="C52" s="16"/>
      <c r="D52" s="16"/>
      <c r="E52" s="89"/>
      <c r="F52" s="90"/>
      <c r="G52" s="89"/>
      <c r="H52" s="17"/>
      <c r="I52" s="89"/>
      <c r="J52" s="18"/>
      <c r="K52" s="25"/>
      <c r="L52" s="19"/>
      <c r="M52" s="19"/>
    </row>
    <row r="53" spans="1:15" ht="16" thickBot="1" x14ac:dyDescent="0.4">
      <c r="A53" s="14" t="s">
        <v>53</v>
      </c>
      <c r="B53" s="82">
        <v>2018</v>
      </c>
      <c r="C53" s="83"/>
      <c r="D53" s="83"/>
      <c r="E53" s="84">
        <f>SUM(E54:E56)</f>
        <v>1985306.6502900003</v>
      </c>
      <c r="F53" s="85">
        <f>SUM(F54:F56)</f>
        <v>12.052554000000001</v>
      </c>
      <c r="G53" s="84">
        <v>1881668</v>
      </c>
      <c r="H53" s="8">
        <f>E53/G53</f>
        <v>1.0550780745009216</v>
      </c>
      <c r="I53" s="84">
        <v>1276311</v>
      </c>
      <c r="J53" s="9">
        <f>E53/I53</f>
        <v>1.5555038311900471</v>
      </c>
      <c r="K53" s="91"/>
      <c r="L53" s="19"/>
      <c r="M53" s="19"/>
    </row>
    <row r="54" spans="1:15" x14ac:dyDescent="0.35">
      <c r="A54" s="14" t="str">
        <f t="shared" ref="A54:A56" si="38">LEFT(B54,10)</f>
        <v>Dividendos</v>
      </c>
      <c r="B54" s="15" t="s">
        <v>21</v>
      </c>
      <c r="C54" s="16">
        <v>43441</v>
      </c>
      <c r="D54" s="16">
        <v>43451</v>
      </c>
      <c r="E54" s="89">
        <f>633000061.73/1000</f>
        <v>633000.06173000007</v>
      </c>
      <c r="F54" s="90">
        <v>3.8428659999999999</v>
      </c>
      <c r="G54" s="89"/>
      <c r="H54" s="17"/>
      <c r="I54" s="89"/>
      <c r="J54" s="18"/>
      <c r="K54" s="92"/>
      <c r="L54" s="19">
        <f>YEAR(D54)</f>
        <v>2018</v>
      </c>
      <c r="M54" s="19">
        <v>2018</v>
      </c>
    </row>
    <row r="55" spans="1:15" x14ac:dyDescent="0.35">
      <c r="A55" s="14" t="str">
        <f t="shared" si="38"/>
        <v>JCP</v>
      </c>
      <c r="B55" s="15" t="s">
        <v>20</v>
      </c>
      <c r="C55" s="16">
        <v>43441</v>
      </c>
      <c r="D55" s="16">
        <v>43451</v>
      </c>
      <c r="E55" s="89">
        <v>592000.05981000001</v>
      </c>
      <c r="F55" s="90">
        <v>3.59396</v>
      </c>
      <c r="G55" s="89"/>
      <c r="H55" s="17"/>
      <c r="I55" s="89"/>
      <c r="J55" s="18"/>
      <c r="K55" s="92"/>
      <c r="L55" s="19">
        <f>YEAR(D55)</f>
        <v>2018</v>
      </c>
      <c r="M55" s="19">
        <v>2018</v>
      </c>
      <c r="O55" s="38"/>
    </row>
    <row r="56" spans="1:15" x14ac:dyDescent="0.35">
      <c r="A56" s="14" t="str">
        <f t="shared" si="38"/>
        <v>Dividendos</v>
      </c>
      <c r="B56" s="15" t="s">
        <v>22</v>
      </c>
      <c r="C56" s="16">
        <v>43257</v>
      </c>
      <c r="D56" s="16">
        <v>43269</v>
      </c>
      <c r="E56" s="89">
        <f>760306528.75/1000</f>
        <v>760306.52875000006</v>
      </c>
      <c r="F56" s="90">
        <v>4.6157279999999998</v>
      </c>
      <c r="G56" s="89"/>
      <c r="H56" s="17"/>
      <c r="I56" s="89"/>
      <c r="J56" s="18"/>
      <c r="K56" s="92"/>
      <c r="L56" s="19">
        <f>YEAR(D56)</f>
        <v>2018</v>
      </c>
      <c r="M56" s="19">
        <v>2018</v>
      </c>
      <c r="O56" s="38"/>
    </row>
    <row r="57" spans="1:15" ht="16" thickBot="1" x14ac:dyDescent="0.4">
      <c r="A57" s="14"/>
      <c r="B57" s="15"/>
      <c r="C57" s="16"/>
      <c r="D57" s="16"/>
      <c r="E57" s="89"/>
      <c r="F57" s="90"/>
      <c r="G57" s="89"/>
      <c r="H57" s="17"/>
      <c r="I57" s="89"/>
      <c r="J57" s="18"/>
      <c r="K57" s="92"/>
      <c r="L57" s="19"/>
      <c r="M57" s="19"/>
      <c r="O57" s="38"/>
    </row>
    <row r="58" spans="1:15" ht="16" thickBot="1" x14ac:dyDescent="0.4">
      <c r="A58" s="14" t="s">
        <v>53</v>
      </c>
      <c r="B58" s="82">
        <v>2017</v>
      </c>
      <c r="C58" s="83"/>
      <c r="D58" s="83"/>
      <c r="E58" s="84">
        <f>SUM(E59:E61)</f>
        <v>585093.64501741016</v>
      </c>
      <c r="F58" s="85">
        <f>SUM(F59:F61)</f>
        <v>3.5520320000000001</v>
      </c>
      <c r="G58" s="84">
        <v>1365512</v>
      </c>
      <c r="H58" s="8">
        <f>E58/(G58)</f>
        <v>0.42847931399900563</v>
      </c>
      <c r="I58" s="84">
        <v>615474</v>
      </c>
      <c r="J58" s="9">
        <f>E58/I58</f>
        <v>0.95063909282505865</v>
      </c>
      <c r="K58" s="91"/>
      <c r="L58" s="19"/>
      <c r="M58" s="19"/>
    </row>
    <row r="59" spans="1:15" x14ac:dyDescent="0.35">
      <c r="A59" s="14" t="str">
        <f t="shared" ref="A59:A61" si="39">LEFT(B59,10)</f>
        <v>Dividendos</v>
      </c>
      <c r="B59" s="15" t="s">
        <v>21</v>
      </c>
      <c r="C59" s="16">
        <v>43208</v>
      </c>
      <c r="D59" s="16">
        <v>43266</v>
      </c>
      <c r="E59" s="89">
        <v>84693.518779316088</v>
      </c>
      <c r="F59" s="90">
        <v>0.51416399999999995</v>
      </c>
      <c r="G59" s="89"/>
      <c r="H59" s="17"/>
      <c r="I59" s="89"/>
      <c r="J59" s="18"/>
      <c r="K59" s="92"/>
      <c r="L59" s="19">
        <f>YEAR(D59)</f>
        <v>2018</v>
      </c>
      <c r="M59" s="19">
        <v>2017</v>
      </c>
    </row>
    <row r="60" spans="1:15" x14ac:dyDescent="0.35">
      <c r="A60" s="14" t="str">
        <f t="shared" si="39"/>
        <v>Dividendos</v>
      </c>
      <c r="B60" s="15" t="s">
        <v>21</v>
      </c>
      <c r="C60" s="16">
        <v>43060</v>
      </c>
      <c r="D60" s="16">
        <v>43067</v>
      </c>
      <c r="E60" s="89">
        <v>365400.04359433585</v>
      </c>
      <c r="F60" s="90">
        <v>2.218299</v>
      </c>
      <c r="G60" s="89"/>
      <c r="H60" s="17"/>
      <c r="I60" s="89"/>
      <c r="J60" s="18"/>
      <c r="K60" s="92"/>
      <c r="L60" s="19">
        <f>YEAR(D60)</f>
        <v>2017</v>
      </c>
      <c r="M60" s="19">
        <v>2017</v>
      </c>
      <c r="O60" s="38"/>
    </row>
    <row r="61" spans="1:15" x14ac:dyDescent="0.35">
      <c r="A61" s="14" t="str">
        <f t="shared" si="39"/>
        <v>Dividendos</v>
      </c>
      <c r="B61" s="15" t="s">
        <v>21</v>
      </c>
      <c r="C61" s="16">
        <v>42888</v>
      </c>
      <c r="D61" s="16">
        <v>42899</v>
      </c>
      <c r="E61" s="89">
        <v>135000.08264375824</v>
      </c>
      <c r="F61" s="90">
        <v>0.81956899999999999</v>
      </c>
      <c r="G61" s="89"/>
      <c r="H61" s="17"/>
      <c r="I61" s="89"/>
      <c r="J61" s="18"/>
      <c r="K61" s="92"/>
      <c r="L61" s="19">
        <f>YEAR(D61)</f>
        <v>2017</v>
      </c>
      <c r="M61" s="19">
        <v>2017</v>
      </c>
      <c r="O61" s="38"/>
    </row>
    <row r="62" spans="1:15" ht="16" thickBot="1" x14ac:dyDescent="0.4">
      <c r="A62" s="14"/>
      <c r="B62" s="15"/>
      <c r="C62" s="16"/>
      <c r="D62" s="16"/>
      <c r="E62" s="89"/>
      <c r="F62" s="90"/>
      <c r="G62" s="89"/>
      <c r="H62" s="17"/>
      <c r="I62" s="89"/>
      <c r="J62" s="18"/>
      <c r="L62" s="19"/>
      <c r="M62" s="19"/>
    </row>
    <row r="63" spans="1:15" ht="16" thickBot="1" x14ac:dyDescent="0.4">
      <c r="A63" s="14" t="s">
        <v>53</v>
      </c>
      <c r="B63" s="82">
        <v>2016</v>
      </c>
      <c r="C63" s="83"/>
      <c r="D63" s="83"/>
      <c r="E63" s="84">
        <f>SUM(E64:E65)</f>
        <v>247500.12406008574</v>
      </c>
      <c r="F63" s="85">
        <f>SUM(F64:F65)</f>
        <v>1.502543</v>
      </c>
      <c r="G63" s="84">
        <v>4932312</v>
      </c>
      <c r="H63" s="8">
        <f>E63/(G63)</f>
        <v>5.0179332544268436E-2</v>
      </c>
      <c r="I63" s="84">
        <v>228785</v>
      </c>
      <c r="J63" s="9">
        <f>E63/I63</f>
        <v>1.0818022338006676</v>
      </c>
      <c r="K63" s="91"/>
      <c r="L63" s="19"/>
      <c r="M63" s="19"/>
    </row>
    <row r="64" spans="1:15" x14ac:dyDescent="0.35">
      <c r="A64" s="14" t="str">
        <f t="shared" ref="A64:A65" si="40">LEFT(B64,10)</f>
        <v>Dividendos</v>
      </c>
      <c r="B64" s="15" t="s">
        <v>21</v>
      </c>
      <c r="C64" s="16">
        <v>42709</v>
      </c>
      <c r="D64" s="16">
        <v>42755</v>
      </c>
      <c r="E64" s="89">
        <v>137500.05061995587</v>
      </c>
      <c r="F64" s="90">
        <v>0.83474599999999999</v>
      </c>
      <c r="G64" s="89"/>
      <c r="H64" s="17"/>
      <c r="I64" s="89"/>
      <c r="J64" s="18"/>
      <c r="K64" s="92"/>
      <c r="L64" s="19">
        <f>YEAR(D64)</f>
        <v>2017</v>
      </c>
      <c r="M64" s="19">
        <v>2016</v>
      </c>
      <c r="O64" s="39"/>
    </row>
    <row r="65" spans="1:15" x14ac:dyDescent="0.35">
      <c r="A65" s="14" t="str">
        <f t="shared" si="40"/>
        <v>Dividendos</v>
      </c>
      <c r="B65" s="15" t="s">
        <v>21</v>
      </c>
      <c r="C65" s="16">
        <v>42543</v>
      </c>
      <c r="D65" s="16">
        <v>42552</v>
      </c>
      <c r="E65" s="89">
        <v>110000.07344012988</v>
      </c>
      <c r="F65" s="90">
        <v>0.66779699999999997</v>
      </c>
      <c r="G65" s="89"/>
      <c r="H65" s="17"/>
      <c r="I65" s="89"/>
      <c r="J65" s="18"/>
      <c r="K65" s="92"/>
      <c r="L65" s="19">
        <f>YEAR(D65)</f>
        <v>2016</v>
      </c>
      <c r="M65" s="19">
        <v>2016</v>
      </c>
    </row>
    <row r="66" spans="1:15" ht="16" thickBot="1" x14ac:dyDescent="0.4">
      <c r="A66" s="14"/>
      <c r="B66" s="15"/>
      <c r="C66" s="16"/>
      <c r="D66" s="16"/>
      <c r="E66" s="89"/>
      <c r="F66" s="90"/>
      <c r="G66" s="89"/>
      <c r="H66" s="17"/>
      <c r="I66" s="89"/>
      <c r="J66" s="18"/>
      <c r="L66" s="19"/>
      <c r="M66" s="19"/>
    </row>
    <row r="67" spans="1:15" ht="16" thickBot="1" x14ac:dyDescent="0.4">
      <c r="A67" s="14" t="s">
        <v>53</v>
      </c>
      <c r="B67" s="82">
        <v>2015</v>
      </c>
      <c r="C67" s="83"/>
      <c r="D67" s="83"/>
      <c r="E67" s="84">
        <f>SUM(E68:E69)</f>
        <v>334865.09512999997</v>
      </c>
      <c r="F67" s="85">
        <f>SUM(F68:F69)</f>
        <v>2.0765609999999999</v>
      </c>
      <c r="G67" s="84">
        <v>504430</v>
      </c>
      <c r="H67" s="8">
        <f>E67/(G67)</f>
        <v>0.66384849261542722</v>
      </c>
      <c r="I67" s="84">
        <v>271887</v>
      </c>
      <c r="J67" s="9">
        <f>E67/I67</f>
        <v>1.231633344477669</v>
      </c>
      <c r="K67" s="91"/>
      <c r="L67" s="19"/>
      <c r="M67" s="19"/>
    </row>
    <row r="68" spans="1:15" x14ac:dyDescent="0.35">
      <c r="A68" s="14" t="str">
        <f t="shared" ref="A68:A69" si="41">LEFT(B68,10)</f>
        <v>Dividendos</v>
      </c>
      <c r="B68" s="15" t="s">
        <v>21</v>
      </c>
      <c r="C68" s="16">
        <v>42334</v>
      </c>
      <c r="D68" s="16">
        <v>42345</v>
      </c>
      <c r="E68" s="89">
        <f>224100006.98/1000</f>
        <v>224100.00697999998</v>
      </c>
      <c r="F68" s="90">
        <v>1.389686</v>
      </c>
      <c r="G68" s="89"/>
      <c r="H68" s="17"/>
      <c r="I68" s="89"/>
      <c r="J68" s="18"/>
      <c r="K68" s="92"/>
      <c r="L68" s="19">
        <f>YEAR(D68)</f>
        <v>2015</v>
      </c>
      <c r="M68" s="19">
        <v>2015</v>
      </c>
      <c r="O68" s="40"/>
    </row>
    <row r="69" spans="1:15" x14ac:dyDescent="0.35">
      <c r="A69" s="14" t="str">
        <f t="shared" si="41"/>
        <v>Dividendos</v>
      </c>
      <c r="B69" s="15" t="s">
        <v>21</v>
      </c>
      <c r="C69" s="16">
        <v>42151</v>
      </c>
      <c r="D69" s="16">
        <v>42163</v>
      </c>
      <c r="E69" s="89">
        <f>110765088.15/1000</f>
        <v>110765.08815000001</v>
      </c>
      <c r="F69" s="90">
        <v>0.68687500000000001</v>
      </c>
      <c r="G69" s="89"/>
      <c r="H69" s="17"/>
      <c r="I69" s="89"/>
      <c r="J69" s="18"/>
      <c r="K69" s="92"/>
      <c r="L69" s="19">
        <f>YEAR(D69)</f>
        <v>2015</v>
      </c>
      <c r="M69" s="19">
        <v>2015</v>
      </c>
      <c r="O69" s="40"/>
    </row>
    <row r="70" spans="1:15" ht="16" thickBot="1" x14ac:dyDescent="0.4">
      <c r="A70" s="14"/>
      <c r="B70" s="15"/>
      <c r="C70" s="16"/>
      <c r="D70" s="16"/>
      <c r="E70" s="89"/>
      <c r="F70" s="90"/>
      <c r="G70" s="89"/>
      <c r="H70" s="17"/>
      <c r="I70" s="89"/>
      <c r="J70" s="18"/>
      <c r="L70" s="19"/>
      <c r="M70" s="19"/>
      <c r="O70" s="40"/>
    </row>
    <row r="71" spans="1:15" ht="16" thickBot="1" x14ac:dyDescent="0.4">
      <c r="A71" s="14" t="s">
        <v>53</v>
      </c>
      <c r="B71" s="82">
        <v>2014</v>
      </c>
      <c r="C71" s="83"/>
      <c r="D71" s="83"/>
      <c r="E71" s="84">
        <f>SUM(E72:E74)</f>
        <v>227718.83040250081</v>
      </c>
      <c r="F71" s="85">
        <f>SUM(F72:F74)</f>
        <v>1.4121270000000001</v>
      </c>
      <c r="G71" s="84">
        <v>378215</v>
      </c>
      <c r="H71" s="8">
        <f>E71/(G71)</f>
        <v>0.60208831062358925</v>
      </c>
      <c r="I71" s="84">
        <v>248140</v>
      </c>
      <c r="J71" s="9">
        <f>E71/I71</f>
        <v>0.91770303216934312</v>
      </c>
      <c r="K71" s="91"/>
      <c r="L71" s="19"/>
      <c r="M71" s="19"/>
    </row>
    <row r="72" spans="1:15" x14ac:dyDescent="0.35">
      <c r="A72" s="14" t="str">
        <f t="shared" ref="A72:A74" si="42">LEFT(B72,10)</f>
        <v>Dividendos</v>
      </c>
      <c r="B72" s="15" t="s">
        <v>21</v>
      </c>
      <c r="C72" s="16">
        <v>42131</v>
      </c>
      <c r="D72" s="16">
        <v>42185</v>
      </c>
      <c r="E72" s="89">
        <f>31029060.55/1000</f>
        <v>31029.060550000002</v>
      </c>
      <c r="F72" s="90">
        <v>0.192417</v>
      </c>
      <c r="G72" s="89"/>
      <c r="H72" s="17"/>
      <c r="I72" s="89"/>
      <c r="J72" s="18"/>
      <c r="K72" s="92"/>
      <c r="L72" s="19">
        <f>YEAR(D72)</f>
        <v>2015</v>
      </c>
      <c r="M72" s="19">
        <v>2014</v>
      </c>
      <c r="O72" s="40"/>
    </row>
    <row r="73" spans="1:15" x14ac:dyDescent="0.35">
      <c r="A73" s="14" t="str">
        <f t="shared" si="42"/>
        <v>Dividendos</v>
      </c>
      <c r="B73" s="15" t="s">
        <v>21</v>
      </c>
      <c r="C73" s="16">
        <v>41968</v>
      </c>
      <c r="D73" s="16">
        <v>41978</v>
      </c>
      <c r="E73" s="89">
        <v>165000.02931352486</v>
      </c>
      <c r="F73" s="90">
        <v>1.023196</v>
      </c>
      <c r="G73" s="89"/>
      <c r="H73" s="17"/>
      <c r="I73" s="89"/>
      <c r="J73" s="18"/>
      <c r="K73" s="92"/>
      <c r="L73" s="19">
        <f>YEAR(D73)</f>
        <v>2014</v>
      </c>
      <c r="M73" s="19">
        <v>2014</v>
      </c>
      <c r="O73" s="40"/>
    </row>
    <row r="74" spans="1:15" x14ac:dyDescent="0.35">
      <c r="A74" s="14" t="str">
        <f t="shared" si="42"/>
        <v>JCP</v>
      </c>
      <c r="B74" s="15" t="s">
        <v>20</v>
      </c>
      <c r="C74" s="16">
        <v>41864</v>
      </c>
      <c r="D74" s="16">
        <v>41880</v>
      </c>
      <c r="E74" s="89">
        <v>31689.740538975941</v>
      </c>
      <c r="F74" s="90">
        <v>0.19651399999999999</v>
      </c>
      <c r="G74" s="89"/>
      <c r="H74" s="17"/>
      <c r="I74" s="89"/>
      <c r="J74" s="18"/>
      <c r="K74" s="92"/>
      <c r="L74" s="19">
        <f>YEAR(D74)</f>
        <v>2014</v>
      </c>
      <c r="M74" s="19">
        <v>2014</v>
      </c>
      <c r="O74" s="40"/>
    </row>
    <row r="75" spans="1:15" ht="16" thickBot="1" x14ac:dyDescent="0.4">
      <c r="A75" s="14"/>
      <c r="B75" s="15"/>
      <c r="C75" s="16"/>
      <c r="D75" s="16"/>
      <c r="E75" s="89"/>
      <c r="F75" s="90"/>
      <c r="G75" s="89"/>
      <c r="H75" s="17"/>
      <c r="I75" s="89"/>
      <c r="J75" s="18"/>
      <c r="L75" s="19"/>
      <c r="M75" s="19"/>
    </row>
    <row r="76" spans="1:15" ht="16" thickBot="1" x14ac:dyDescent="0.4">
      <c r="A76" s="14" t="s">
        <v>53</v>
      </c>
      <c r="B76" s="82">
        <v>2013</v>
      </c>
      <c r="C76" s="83"/>
      <c r="D76" s="83"/>
      <c r="E76" s="84">
        <f>SUM(E77:E78)</f>
        <v>230000.21914999999</v>
      </c>
      <c r="F76" s="85">
        <f>SUM(F77:F78)</f>
        <v>1.506602</v>
      </c>
      <c r="G76" s="84">
        <v>31900</v>
      </c>
      <c r="H76" s="8" t="s">
        <v>24</v>
      </c>
      <c r="I76" s="84">
        <v>-145400</v>
      </c>
      <c r="J76" s="9" t="s">
        <v>24</v>
      </c>
      <c r="K76" s="91"/>
      <c r="L76" s="19"/>
      <c r="M76" s="19"/>
      <c r="O76" s="40"/>
    </row>
    <row r="77" spans="1:15" x14ac:dyDescent="0.35">
      <c r="A77" s="14" t="str">
        <f t="shared" ref="A77:A78" si="43">LEFT(B77,10)</f>
        <v>Dividendos</v>
      </c>
      <c r="B77" s="15" t="s">
        <v>21</v>
      </c>
      <c r="C77" s="16">
        <v>41731</v>
      </c>
      <c r="D77" s="16">
        <v>41851</v>
      </c>
      <c r="E77" s="89">
        <f>30000134.78/1000</f>
        <v>30000.13478</v>
      </c>
      <c r="F77" s="90">
        <v>0.19651399999999999</v>
      </c>
      <c r="G77" s="89"/>
      <c r="H77" s="17"/>
      <c r="I77" s="89"/>
      <c r="J77" s="18"/>
      <c r="K77" s="92"/>
      <c r="L77" s="19">
        <f>YEAR(D77)</f>
        <v>2014</v>
      </c>
      <c r="M77" s="19">
        <v>2013</v>
      </c>
      <c r="O77" s="40"/>
    </row>
    <row r="78" spans="1:15" x14ac:dyDescent="0.35">
      <c r="A78" s="14" t="str">
        <f t="shared" si="43"/>
        <v>JCP</v>
      </c>
      <c r="B78" s="15" t="s">
        <v>20</v>
      </c>
      <c r="C78" s="16">
        <v>41634</v>
      </c>
      <c r="D78" s="16">
        <v>41669</v>
      </c>
      <c r="E78" s="89">
        <f>200000084.37/1000</f>
        <v>200000.08437</v>
      </c>
      <c r="F78" s="90">
        <v>1.3100879999999999</v>
      </c>
      <c r="G78" s="89"/>
      <c r="H78" s="17"/>
      <c r="I78" s="89"/>
      <c r="J78" s="18"/>
      <c r="K78" s="92"/>
      <c r="L78" s="19">
        <f>YEAR(D78)</f>
        <v>2014</v>
      </c>
      <c r="M78" s="19">
        <v>2013</v>
      </c>
      <c r="O78" s="40"/>
    </row>
    <row r="79" spans="1:15" ht="16" thickBot="1" x14ac:dyDescent="0.4">
      <c r="A79" s="14"/>
      <c r="B79" s="15"/>
      <c r="C79" s="16"/>
      <c r="D79" s="16"/>
      <c r="E79" s="89"/>
      <c r="F79" s="90"/>
      <c r="G79" s="89"/>
      <c r="H79" s="17"/>
      <c r="I79" s="89"/>
      <c r="J79" s="18"/>
      <c r="L79" s="19"/>
      <c r="M79" s="19"/>
      <c r="O79" s="40"/>
    </row>
    <row r="80" spans="1:15" ht="16" thickBot="1" x14ac:dyDescent="0.4">
      <c r="A80" s="14" t="s">
        <v>53</v>
      </c>
      <c r="B80" s="82">
        <v>2012</v>
      </c>
      <c r="C80" s="83"/>
      <c r="D80" s="83"/>
      <c r="E80" s="84">
        <f>SUM(E81:E84)</f>
        <v>242680.74669005111</v>
      </c>
      <c r="F80" s="85">
        <f>SUM(F81:F84)</f>
        <v>1.5896650000000001</v>
      </c>
      <c r="G80" s="84">
        <v>843488</v>
      </c>
      <c r="H80" s="8">
        <f>E80/(G80)</f>
        <v>0.28771096528943046</v>
      </c>
      <c r="I80" s="84">
        <v>1004000</v>
      </c>
      <c r="J80" s="9">
        <f>E80/I80</f>
        <v>0.24171389112554892</v>
      </c>
      <c r="K80" s="91"/>
      <c r="L80" s="19"/>
      <c r="M80" s="19"/>
      <c r="O80" s="40"/>
    </row>
    <row r="81" spans="1:15" x14ac:dyDescent="0.35">
      <c r="A81" s="14" t="str">
        <f t="shared" ref="A81:A84" si="44">LEFT(B81,10)</f>
        <v>Dividendos</v>
      </c>
      <c r="B81" s="15" t="s">
        <v>21</v>
      </c>
      <c r="C81" s="16">
        <v>41092</v>
      </c>
      <c r="D81" s="16">
        <v>41117</v>
      </c>
      <c r="E81" s="89">
        <v>97050.162749098687</v>
      </c>
      <c r="F81" s="90">
        <v>0.63572099999999998</v>
      </c>
      <c r="G81" s="89"/>
      <c r="H81" s="17"/>
      <c r="I81" s="89"/>
      <c r="J81" s="18"/>
      <c r="K81" s="92"/>
      <c r="L81" s="19">
        <f>YEAR(D81)</f>
        <v>2012</v>
      </c>
      <c r="M81" s="19">
        <v>2012</v>
      </c>
    </row>
    <row r="82" spans="1:15" x14ac:dyDescent="0.35">
      <c r="A82" s="14" t="str">
        <f t="shared" si="44"/>
        <v>JCP</v>
      </c>
      <c r="B82" s="15" t="s">
        <v>20</v>
      </c>
      <c r="C82" s="16">
        <v>41092</v>
      </c>
      <c r="D82" s="16">
        <v>41117</v>
      </c>
      <c r="E82" s="89">
        <v>63949.929569099404</v>
      </c>
      <c r="F82" s="90">
        <v>0.41889999999999999</v>
      </c>
      <c r="G82" s="89"/>
      <c r="H82" s="17"/>
      <c r="I82" s="89"/>
      <c r="J82" s="18"/>
      <c r="K82" s="92"/>
      <c r="L82" s="19">
        <f>YEAR(D82)</f>
        <v>2012</v>
      </c>
      <c r="M82" s="19">
        <v>2012</v>
      </c>
      <c r="O82" s="41"/>
    </row>
    <row r="83" spans="1:15" x14ac:dyDescent="0.35">
      <c r="A83" s="14" t="str">
        <f t="shared" si="44"/>
        <v>Dividendos</v>
      </c>
      <c r="B83" s="15" t="s">
        <v>21</v>
      </c>
      <c r="C83" s="16">
        <v>41016</v>
      </c>
      <c r="D83" s="16">
        <v>41029</v>
      </c>
      <c r="E83" s="89">
        <v>31348.899706576736</v>
      </c>
      <c r="F83" s="90">
        <v>0.205349</v>
      </c>
      <c r="G83" s="89"/>
      <c r="H83" s="17"/>
      <c r="I83" s="89"/>
      <c r="J83" s="18"/>
      <c r="K83" s="92"/>
      <c r="L83" s="19">
        <f>YEAR(D83)</f>
        <v>2012</v>
      </c>
      <c r="M83" s="19">
        <v>2012</v>
      </c>
      <c r="O83" s="40"/>
    </row>
    <row r="84" spans="1:15" x14ac:dyDescent="0.35">
      <c r="A84" s="14" t="str">
        <f t="shared" si="44"/>
        <v>Dividendos</v>
      </c>
      <c r="B84" s="15" t="s">
        <v>21</v>
      </c>
      <c r="C84" s="16">
        <v>41016</v>
      </c>
      <c r="D84" s="16">
        <v>41029</v>
      </c>
      <c r="E84" s="89">
        <v>50331.754665276268</v>
      </c>
      <c r="F84" s="90">
        <v>0.32969500000000002</v>
      </c>
      <c r="G84" s="89"/>
      <c r="H84" s="17"/>
      <c r="I84" s="89"/>
      <c r="J84" s="18"/>
      <c r="K84" s="92"/>
      <c r="L84" s="19">
        <f>YEAR(D84)</f>
        <v>2012</v>
      </c>
      <c r="M84" s="19">
        <v>2012</v>
      </c>
      <c r="O84" s="40"/>
    </row>
    <row r="85" spans="1:15" ht="16" thickBot="1" x14ac:dyDescent="0.4">
      <c r="A85" s="14"/>
      <c r="B85" s="15"/>
      <c r="C85" s="16"/>
      <c r="D85" s="16"/>
      <c r="E85" s="89"/>
      <c r="F85" s="90"/>
      <c r="G85" s="89"/>
      <c r="H85" s="17"/>
      <c r="I85" s="89"/>
      <c r="J85" s="18"/>
      <c r="L85" s="19"/>
      <c r="M85" s="19"/>
      <c r="O85" s="40"/>
    </row>
    <row r="86" spans="1:15" ht="16" thickBot="1" x14ac:dyDescent="0.4">
      <c r="A86" s="14" t="s">
        <v>53</v>
      </c>
      <c r="B86" s="82">
        <v>2011</v>
      </c>
      <c r="C86" s="83"/>
      <c r="D86" s="83"/>
      <c r="E86" s="84">
        <f>SUM(E87:E92)</f>
        <v>691985.84615318</v>
      </c>
      <c r="F86" s="85">
        <f>SUM(F87:F92)</f>
        <v>4.5492609999999996</v>
      </c>
      <c r="G86" s="84">
        <v>915260</v>
      </c>
      <c r="H86" s="8">
        <f>E86/(G86)</f>
        <v>0.7560538493468304</v>
      </c>
      <c r="I86" s="84">
        <v>805700</v>
      </c>
      <c r="J86" s="9">
        <f>E86/I86</f>
        <v>0.85886290946156141</v>
      </c>
      <c r="K86" s="91"/>
      <c r="L86" s="19"/>
      <c r="M86" s="19"/>
      <c r="O86" s="40"/>
    </row>
    <row r="87" spans="1:15" x14ac:dyDescent="0.35">
      <c r="A87" s="14" t="str">
        <f t="shared" ref="A87:A92" si="45">LEFT(B87,10)</f>
        <v>JCP</v>
      </c>
      <c r="B87" s="15" t="s">
        <v>20</v>
      </c>
      <c r="C87" s="16">
        <v>40925</v>
      </c>
      <c r="D87" s="16">
        <v>40938</v>
      </c>
      <c r="E87" s="89">
        <v>64158.159943728795</v>
      </c>
      <c r="F87" s="90">
        <v>0.42026400000000003</v>
      </c>
      <c r="G87" s="89"/>
      <c r="H87" s="17"/>
      <c r="I87" s="89"/>
      <c r="J87" s="18"/>
      <c r="K87" s="92"/>
      <c r="L87" s="19">
        <f t="shared" ref="L87:L92" si="46">YEAR(D87)</f>
        <v>2012</v>
      </c>
      <c r="M87" s="19">
        <v>2011</v>
      </c>
      <c r="O87" s="40"/>
    </row>
    <row r="88" spans="1:15" x14ac:dyDescent="0.35">
      <c r="A88" s="14" t="str">
        <f t="shared" si="45"/>
        <v>Dividendos</v>
      </c>
      <c r="B88" s="15" t="s">
        <v>21</v>
      </c>
      <c r="C88" s="16">
        <v>40925</v>
      </c>
      <c r="D88" s="16">
        <v>40938</v>
      </c>
      <c r="E88" s="89">
        <v>169841.94483856834</v>
      </c>
      <c r="F88" s="90">
        <v>1.1125389999999999</v>
      </c>
      <c r="G88" s="89"/>
      <c r="H88" s="17"/>
      <c r="I88" s="89"/>
      <c r="J88" s="18"/>
      <c r="K88" s="92"/>
      <c r="L88" s="19">
        <f t="shared" si="46"/>
        <v>2012</v>
      </c>
      <c r="M88" s="19">
        <v>2011</v>
      </c>
      <c r="O88" s="40"/>
    </row>
    <row r="89" spans="1:15" x14ac:dyDescent="0.35">
      <c r="A89" s="14" t="str">
        <f t="shared" si="45"/>
        <v>JCP</v>
      </c>
      <c r="B89" s="15" t="s">
        <v>20</v>
      </c>
      <c r="C89" s="16">
        <v>40827</v>
      </c>
      <c r="D89" s="16">
        <v>40847</v>
      </c>
      <c r="E89" s="89">
        <f>61228528.25/1000</f>
        <v>61228.528250000003</v>
      </c>
      <c r="F89" s="90">
        <v>0.40327299999999999</v>
      </c>
      <c r="G89" s="89"/>
      <c r="H89" s="17"/>
      <c r="I89" s="89"/>
      <c r="J89" s="18"/>
      <c r="K89" s="92"/>
      <c r="L89" s="19">
        <f t="shared" si="46"/>
        <v>2011</v>
      </c>
      <c r="M89" s="19">
        <v>2011</v>
      </c>
    </row>
    <row r="90" spans="1:15" x14ac:dyDescent="0.35">
      <c r="A90" s="14" t="str">
        <f t="shared" si="45"/>
        <v>Dividendos</v>
      </c>
      <c r="B90" s="15" t="s">
        <v>21</v>
      </c>
      <c r="C90" s="16">
        <v>40827</v>
      </c>
      <c r="D90" s="16">
        <v>40847</v>
      </c>
      <c r="E90" s="89">
        <f>172771510.36/1000</f>
        <v>172771.51036000001</v>
      </c>
      <c r="F90" s="90">
        <v>1.1379349999999999</v>
      </c>
      <c r="G90" s="89"/>
      <c r="H90" s="17"/>
      <c r="I90" s="89"/>
      <c r="J90" s="18"/>
      <c r="K90" s="92"/>
      <c r="L90" s="19">
        <f t="shared" si="46"/>
        <v>2011</v>
      </c>
      <c r="M90" s="19">
        <v>2011</v>
      </c>
    </row>
    <row r="91" spans="1:15" x14ac:dyDescent="0.35">
      <c r="A91" s="14" t="str">
        <f t="shared" si="45"/>
        <v>JCP</v>
      </c>
      <c r="B91" s="15" t="s">
        <v>20</v>
      </c>
      <c r="C91" s="16">
        <v>40731</v>
      </c>
      <c r="D91" s="16">
        <v>40752</v>
      </c>
      <c r="E91" s="89">
        <f>63460717.92/1000</f>
        <v>63460.717920000003</v>
      </c>
      <c r="F91" s="90">
        <v>0.41797499999999999</v>
      </c>
      <c r="G91" s="89"/>
      <c r="H91" s="17"/>
      <c r="I91" s="89"/>
      <c r="J91" s="18"/>
      <c r="K91" s="92"/>
      <c r="L91" s="19">
        <f t="shared" si="46"/>
        <v>2011</v>
      </c>
      <c r="M91" s="19">
        <v>2011</v>
      </c>
      <c r="O91" s="40"/>
    </row>
    <row r="92" spans="1:15" x14ac:dyDescent="0.35">
      <c r="A92" s="14" t="str">
        <f t="shared" si="45"/>
        <v>Dividendos</v>
      </c>
      <c r="B92" s="15" t="s">
        <v>21</v>
      </c>
      <c r="C92" s="16">
        <v>40731</v>
      </c>
      <c r="D92" s="16">
        <v>40752</v>
      </c>
      <c r="E92" s="89">
        <v>160524.98484088283</v>
      </c>
      <c r="F92" s="90">
        <v>1.057275</v>
      </c>
      <c r="G92" s="89"/>
      <c r="H92" s="17"/>
      <c r="I92" s="89"/>
      <c r="J92" s="18"/>
      <c r="K92" s="92"/>
      <c r="L92" s="19">
        <f t="shared" si="46"/>
        <v>2011</v>
      </c>
      <c r="M92" s="19">
        <v>2011</v>
      </c>
      <c r="O92" s="40"/>
    </row>
    <row r="93" spans="1:15" ht="16" thickBot="1" x14ac:dyDescent="0.4">
      <c r="A93" s="14"/>
      <c r="B93" s="15"/>
      <c r="C93" s="16"/>
      <c r="D93" s="16"/>
      <c r="E93" s="89"/>
      <c r="F93" s="90"/>
      <c r="G93" s="89"/>
      <c r="H93" s="17"/>
      <c r="I93" s="89"/>
      <c r="J93" s="18"/>
      <c r="L93" s="19"/>
      <c r="M93" s="19"/>
      <c r="O93" s="40"/>
    </row>
    <row r="94" spans="1:15" ht="16" thickBot="1" x14ac:dyDescent="0.4">
      <c r="A94" s="14" t="s">
        <v>53</v>
      </c>
      <c r="B94" s="82">
        <v>2010</v>
      </c>
      <c r="C94" s="83"/>
      <c r="D94" s="83"/>
      <c r="E94" s="84">
        <f>SUM(E95:E103)</f>
        <v>775411.70514320454</v>
      </c>
      <c r="F94" s="85">
        <f>SUM(F95:F103)</f>
        <v>5.1071389999999992</v>
      </c>
      <c r="G94" s="84">
        <v>812171</v>
      </c>
      <c r="H94" s="8">
        <f>E94/(G94)</f>
        <v>0.95473946390994568</v>
      </c>
      <c r="I94" s="84">
        <f>G94</f>
        <v>812171</v>
      </c>
      <c r="J94" s="9">
        <f>E94/I94</f>
        <v>0.95473946390994568</v>
      </c>
      <c r="K94" s="91"/>
      <c r="L94" s="19"/>
      <c r="M94" s="19"/>
      <c r="O94" s="40"/>
    </row>
    <row r="95" spans="1:15" x14ac:dyDescent="0.35">
      <c r="A95" s="14" t="str">
        <f t="shared" ref="A95:A103" si="47">LEFT(B95,10)</f>
        <v>Dividendos</v>
      </c>
      <c r="B95" s="15" t="s">
        <v>21</v>
      </c>
      <c r="C95" s="16">
        <v>40665</v>
      </c>
      <c r="D95" s="16">
        <v>40752</v>
      </c>
      <c r="E95" s="89">
        <v>16714.396922445219</v>
      </c>
      <c r="F95" s="90">
        <v>0.110087</v>
      </c>
      <c r="G95" s="89"/>
      <c r="H95" s="17"/>
      <c r="I95" s="89"/>
      <c r="J95" s="18"/>
      <c r="K95" s="92"/>
      <c r="L95" s="19">
        <f t="shared" ref="L95:L103" si="48">YEAR(D95)</f>
        <v>2011</v>
      </c>
      <c r="M95" s="19">
        <v>2010</v>
      </c>
      <c r="O95" s="40"/>
    </row>
    <row r="96" spans="1:15" x14ac:dyDescent="0.35">
      <c r="A96" s="14" t="str">
        <f t="shared" si="47"/>
        <v>JCP</v>
      </c>
      <c r="B96" s="15" t="s">
        <v>20</v>
      </c>
      <c r="C96" s="16">
        <v>40640</v>
      </c>
      <c r="D96" s="16">
        <v>40662</v>
      </c>
      <c r="E96" s="89">
        <v>65692.755755138278</v>
      </c>
      <c r="F96" s="90">
        <v>0.43267600000000001</v>
      </c>
      <c r="G96" s="89"/>
      <c r="H96" s="17"/>
      <c r="I96" s="89"/>
      <c r="J96" s="18"/>
      <c r="K96" s="92"/>
      <c r="L96" s="19">
        <f t="shared" si="48"/>
        <v>2011</v>
      </c>
      <c r="M96" s="19">
        <v>2010</v>
      </c>
      <c r="O96" s="40"/>
    </row>
    <row r="97" spans="1:15" x14ac:dyDescent="0.35">
      <c r="A97" s="14" t="str">
        <f t="shared" si="47"/>
        <v>Dividendos</v>
      </c>
      <c r="B97" s="15" t="s">
        <v>21</v>
      </c>
      <c r="C97" s="16">
        <v>40640</v>
      </c>
      <c r="D97" s="16">
        <v>40662</v>
      </c>
      <c r="E97" s="89">
        <v>181307.18379577648</v>
      </c>
      <c r="F97" s="90">
        <v>1.1941539999999999</v>
      </c>
      <c r="G97" s="89"/>
      <c r="H97" s="17"/>
      <c r="I97" s="89"/>
      <c r="J97" s="18"/>
      <c r="K97" s="92"/>
      <c r="L97" s="19">
        <f t="shared" si="48"/>
        <v>2011</v>
      </c>
      <c r="M97" s="19">
        <v>2010</v>
      </c>
      <c r="O97" s="40"/>
    </row>
    <row r="98" spans="1:15" x14ac:dyDescent="0.35">
      <c r="A98" s="14" t="str">
        <f t="shared" si="47"/>
        <v>JCP</v>
      </c>
      <c r="B98" s="15" t="s">
        <v>20</v>
      </c>
      <c r="C98" s="16">
        <v>40560</v>
      </c>
      <c r="D98" s="16">
        <v>40571</v>
      </c>
      <c r="E98" s="89">
        <v>63027.094353089255</v>
      </c>
      <c r="F98" s="90">
        <v>0.41511900000000002</v>
      </c>
      <c r="G98" s="89"/>
      <c r="H98" s="17"/>
      <c r="I98" s="89"/>
      <c r="J98" s="18"/>
      <c r="K98" s="92"/>
      <c r="L98" s="19">
        <f t="shared" si="48"/>
        <v>2011</v>
      </c>
      <c r="M98" s="19">
        <v>2010</v>
      </c>
      <c r="O98" s="40"/>
    </row>
    <row r="99" spans="1:15" x14ac:dyDescent="0.35">
      <c r="A99" s="14" t="str">
        <f t="shared" si="47"/>
        <v>Dividendos</v>
      </c>
      <c r="B99" s="15" t="s">
        <v>21</v>
      </c>
      <c r="C99" s="16">
        <v>40560</v>
      </c>
      <c r="D99" s="16">
        <v>40571</v>
      </c>
      <c r="E99" s="89">
        <v>112072.8652529071</v>
      </c>
      <c r="F99" s="90">
        <v>0.73815200000000003</v>
      </c>
      <c r="G99" s="89"/>
      <c r="H99" s="17"/>
      <c r="I99" s="89"/>
      <c r="J99" s="18"/>
      <c r="K99" s="92"/>
      <c r="L99" s="19">
        <f t="shared" si="48"/>
        <v>2011</v>
      </c>
      <c r="M99" s="19">
        <v>2010</v>
      </c>
      <c r="O99" s="40"/>
    </row>
    <row r="100" spans="1:15" x14ac:dyDescent="0.35">
      <c r="A100" s="14" t="str">
        <f t="shared" si="47"/>
        <v>Dividendos</v>
      </c>
      <c r="B100" s="15" t="s">
        <v>21</v>
      </c>
      <c r="C100" s="16">
        <v>40459</v>
      </c>
      <c r="D100" s="16">
        <v>40476</v>
      </c>
      <c r="E100" s="89">
        <v>146280.08627831275</v>
      </c>
      <c r="F100" s="90">
        <v>0.963453</v>
      </c>
      <c r="G100" s="89"/>
      <c r="H100" s="17"/>
      <c r="I100" s="89"/>
      <c r="J100" s="18"/>
      <c r="K100" s="92"/>
      <c r="L100" s="19">
        <f t="shared" si="48"/>
        <v>2010</v>
      </c>
      <c r="M100" s="19">
        <v>2010</v>
      </c>
    </row>
    <row r="101" spans="1:15" x14ac:dyDescent="0.35">
      <c r="A101" s="14" t="str">
        <f t="shared" si="47"/>
        <v>JCP</v>
      </c>
      <c r="B101" s="15" t="s">
        <v>20</v>
      </c>
      <c r="C101" s="16">
        <v>40459</v>
      </c>
      <c r="D101" s="16">
        <v>40476</v>
      </c>
      <c r="E101" s="89">
        <v>63719.889988878385</v>
      </c>
      <c r="F101" s="90">
        <v>0.419682</v>
      </c>
      <c r="G101" s="89"/>
      <c r="H101" s="17"/>
      <c r="I101" s="89"/>
      <c r="J101" s="18"/>
      <c r="K101" s="92"/>
      <c r="L101" s="19">
        <f t="shared" si="48"/>
        <v>2010</v>
      </c>
      <c r="M101" s="19">
        <v>2010</v>
      </c>
    </row>
    <row r="102" spans="1:15" x14ac:dyDescent="0.35">
      <c r="A102" s="14" t="str">
        <f t="shared" si="47"/>
        <v>JCP</v>
      </c>
      <c r="B102" s="15" t="s">
        <v>20</v>
      </c>
      <c r="C102" s="16">
        <v>40367</v>
      </c>
      <c r="D102" s="16">
        <v>40382</v>
      </c>
      <c r="E102" s="89">
        <v>62925.824423422077</v>
      </c>
      <c r="F102" s="90">
        <v>0.41445199999999999</v>
      </c>
      <c r="G102" s="89"/>
      <c r="H102" s="17"/>
      <c r="I102" s="89"/>
      <c r="J102" s="18"/>
      <c r="K102" s="92"/>
      <c r="L102" s="19">
        <f t="shared" si="48"/>
        <v>2010</v>
      </c>
      <c r="M102" s="19">
        <v>2010</v>
      </c>
      <c r="O102" s="40"/>
    </row>
    <row r="103" spans="1:15" x14ac:dyDescent="0.35">
      <c r="A103" s="14" t="str">
        <f t="shared" si="47"/>
        <v>Dividendos</v>
      </c>
      <c r="B103" s="15" t="s">
        <v>21</v>
      </c>
      <c r="C103" s="16">
        <v>40367</v>
      </c>
      <c r="D103" s="16">
        <v>40382</v>
      </c>
      <c r="E103" s="89">
        <v>63671.608373234965</v>
      </c>
      <c r="F103" s="90">
        <v>0.41936400000000001</v>
      </c>
      <c r="G103" s="89"/>
      <c r="H103" s="17"/>
      <c r="I103" s="89"/>
      <c r="J103" s="18"/>
      <c r="K103" s="92"/>
      <c r="L103" s="19">
        <f t="shared" si="48"/>
        <v>2010</v>
      </c>
      <c r="M103" s="19">
        <v>2010</v>
      </c>
      <c r="O103" s="40"/>
    </row>
    <row r="104" spans="1:15" ht="16" thickBot="1" x14ac:dyDescent="0.4">
      <c r="A104" s="14"/>
      <c r="B104" s="15"/>
      <c r="C104" s="16"/>
      <c r="D104" s="16"/>
      <c r="E104" s="89"/>
      <c r="F104" s="90"/>
      <c r="G104" s="89"/>
      <c r="H104" s="17"/>
      <c r="I104" s="89"/>
      <c r="J104" s="18"/>
      <c r="L104" s="19"/>
      <c r="M104" s="19"/>
      <c r="O104" s="40"/>
    </row>
    <row r="105" spans="1:15" ht="16" thickBot="1" x14ac:dyDescent="0.4">
      <c r="A105" s="14" t="s">
        <v>53</v>
      </c>
      <c r="B105" s="82">
        <v>2009</v>
      </c>
      <c r="C105" s="83"/>
      <c r="D105" s="83"/>
      <c r="E105" s="84">
        <f>SUM(E106:E115)</f>
        <v>845099.64981935092</v>
      </c>
      <c r="F105" s="85">
        <f>SUM(F106:F115)</f>
        <v>5.6169479999999989</v>
      </c>
      <c r="G105" s="84">
        <v>861975</v>
      </c>
      <c r="H105" s="8">
        <f>E105/(G105)</f>
        <v>0.98042245983856946</v>
      </c>
      <c r="I105" s="84">
        <f>G105</f>
        <v>861975</v>
      </c>
      <c r="J105" s="9">
        <f>E105/I105</f>
        <v>0.98042245983856946</v>
      </c>
      <c r="K105" s="91"/>
      <c r="L105" s="19"/>
      <c r="M105" s="19"/>
      <c r="O105" s="40"/>
    </row>
    <row r="106" spans="1:15" x14ac:dyDescent="0.35">
      <c r="A106" s="14" t="str">
        <f t="shared" ref="A106:A115" si="49">LEFT(B106,10)</f>
        <v>Dividendos</v>
      </c>
      <c r="B106" s="15" t="s">
        <v>21</v>
      </c>
      <c r="C106" s="16">
        <v>40303</v>
      </c>
      <c r="D106" s="16">
        <v>40382</v>
      </c>
      <c r="E106" s="89">
        <v>77302.662369621539</v>
      </c>
      <c r="F106" s="90">
        <v>0.50914300000000001</v>
      </c>
      <c r="G106" s="89"/>
      <c r="H106" s="17"/>
      <c r="I106" s="89"/>
      <c r="J106" s="18"/>
      <c r="K106" s="92"/>
      <c r="L106" s="19">
        <f t="shared" ref="L106:L115" si="50">YEAR(D106)</f>
        <v>2010</v>
      </c>
      <c r="M106" s="19">
        <v>2009</v>
      </c>
      <c r="O106" s="40"/>
    </row>
    <row r="107" spans="1:15" x14ac:dyDescent="0.35">
      <c r="A107" s="14" t="str">
        <f t="shared" si="49"/>
        <v>Dividendos</v>
      </c>
      <c r="B107" s="15" t="s">
        <v>21</v>
      </c>
      <c r="C107" s="16">
        <v>40277</v>
      </c>
      <c r="D107" s="16">
        <v>40288</v>
      </c>
      <c r="E107" s="89">
        <v>129979.8546478683</v>
      </c>
      <c r="F107" s="90">
        <v>0.86275599999999997</v>
      </c>
      <c r="G107" s="89"/>
      <c r="H107" s="17"/>
      <c r="I107" s="89"/>
      <c r="J107" s="18"/>
      <c r="K107" s="92"/>
      <c r="L107" s="19">
        <f t="shared" si="50"/>
        <v>2010</v>
      </c>
      <c r="M107" s="19">
        <v>2009</v>
      </c>
      <c r="O107" s="40"/>
    </row>
    <row r="108" spans="1:15" x14ac:dyDescent="0.35">
      <c r="A108" s="14" t="str">
        <f t="shared" si="49"/>
        <v>JCP</v>
      </c>
      <c r="B108" s="15" t="s">
        <v>20</v>
      </c>
      <c r="C108" s="16">
        <v>40277</v>
      </c>
      <c r="D108" s="16">
        <v>40288</v>
      </c>
      <c r="E108" s="89">
        <v>61920.149173095488</v>
      </c>
      <c r="F108" s="90">
        <v>0.41100199999999998</v>
      </c>
      <c r="G108" s="89"/>
      <c r="H108" s="17"/>
      <c r="I108" s="89"/>
      <c r="J108" s="18"/>
      <c r="K108" s="92"/>
      <c r="L108" s="19">
        <f t="shared" si="50"/>
        <v>2010</v>
      </c>
      <c r="M108" s="19">
        <v>2009</v>
      </c>
      <c r="O108" s="40"/>
    </row>
    <row r="109" spans="1:15" x14ac:dyDescent="0.35">
      <c r="A109" s="14" t="str">
        <f t="shared" si="49"/>
        <v>Dividendos</v>
      </c>
      <c r="B109" s="15" t="s">
        <v>21</v>
      </c>
      <c r="C109" s="16">
        <v>40190</v>
      </c>
      <c r="D109" s="16">
        <v>40200</v>
      </c>
      <c r="E109" s="89">
        <v>161000.04120350641</v>
      </c>
      <c r="F109" s="90">
        <v>1.0686560000000001</v>
      </c>
      <c r="G109" s="89"/>
      <c r="H109" s="17"/>
      <c r="I109" s="89"/>
      <c r="J109" s="18"/>
      <c r="K109" s="92"/>
      <c r="L109" s="19">
        <f t="shared" si="50"/>
        <v>2010</v>
      </c>
      <c r="M109" s="19">
        <v>2009</v>
      </c>
      <c r="O109" s="40"/>
    </row>
    <row r="110" spans="1:15" x14ac:dyDescent="0.35">
      <c r="A110" s="14" t="str">
        <f t="shared" si="49"/>
        <v>JCP</v>
      </c>
      <c r="B110" s="15" t="s">
        <v>20</v>
      </c>
      <c r="C110" s="16">
        <v>40163</v>
      </c>
      <c r="D110" s="16">
        <v>40177</v>
      </c>
      <c r="E110" s="89">
        <v>61380.798673487989</v>
      </c>
      <c r="F110" s="90">
        <v>0.40742200000000001</v>
      </c>
      <c r="G110" s="89"/>
      <c r="H110" s="17"/>
      <c r="I110" s="89"/>
      <c r="J110" s="18"/>
      <c r="K110" s="92"/>
      <c r="L110" s="19">
        <f t="shared" si="50"/>
        <v>2009</v>
      </c>
      <c r="M110" s="19">
        <v>2009</v>
      </c>
      <c r="O110" s="40"/>
    </row>
    <row r="111" spans="1:15" x14ac:dyDescent="0.35">
      <c r="A111" s="14" t="str">
        <f t="shared" si="49"/>
        <v>Dividendos</v>
      </c>
      <c r="B111" s="15" t="s">
        <v>21</v>
      </c>
      <c r="C111" s="16">
        <v>40093</v>
      </c>
      <c r="D111" s="16">
        <v>40107</v>
      </c>
      <c r="E111" s="89">
        <v>103444.56334999998</v>
      </c>
      <c r="F111" s="90">
        <v>0.68662500000000004</v>
      </c>
      <c r="G111" s="89"/>
      <c r="H111" s="17"/>
      <c r="I111" s="89"/>
      <c r="J111" s="18"/>
      <c r="K111" s="92"/>
      <c r="L111" s="19">
        <f t="shared" si="50"/>
        <v>2009</v>
      </c>
      <c r="M111" s="19">
        <v>2009</v>
      </c>
      <c r="O111" s="40"/>
    </row>
    <row r="112" spans="1:15" x14ac:dyDescent="0.35">
      <c r="A112" s="14" t="str">
        <f t="shared" si="49"/>
        <v>JCP</v>
      </c>
      <c r="B112" s="15" t="s">
        <v>20</v>
      </c>
      <c r="C112" s="16">
        <v>40093</v>
      </c>
      <c r="D112" s="16">
        <v>40107</v>
      </c>
      <c r="E112" s="89">
        <v>62055.438767689775</v>
      </c>
      <c r="F112" s="90">
        <v>0.41189999999999999</v>
      </c>
      <c r="G112" s="89"/>
      <c r="H112" s="17"/>
      <c r="I112" s="89"/>
      <c r="J112" s="18"/>
      <c r="K112" s="92"/>
      <c r="L112" s="19">
        <f t="shared" si="50"/>
        <v>2009</v>
      </c>
      <c r="M112" s="19">
        <v>2009</v>
      </c>
    </row>
    <row r="113" spans="1:15" x14ac:dyDescent="0.35">
      <c r="A113" s="14" t="str">
        <f t="shared" si="49"/>
        <v>Dividendos</v>
      </c>
      <c r="B113" s="15" t="s">
        <v>21</v>
      </c>
      <c r="C113" s="16">
        <v>40001</v>
      </c>
      <c r="D113" s="16">
        <v>40015</v>
      </c>
      <c r="E113" s="89">
        <v>60842.161013877012</v>
      </c>
      <c r="F113" s="90">
        <v>0.407557</v>
      </c>
      <c r="G113" s="89"/>
      <c r="H113" s="17"/>
      <c r="I113" s="89"/>
      <c r="J113" s="18"/>
      <c r="K113" s="92"/>
      <c r="L113" s="19">
        <f t="shared" si="50"/>
        <v>2009</v>
      </c>
      <c r="M113" s="19">
        <v>2009</v>
      </c>
    </row>
    <row r="114" spans="1:15" x14ac:dyDescent="0.35">
      <c r="A114" s="14" t="str">
        <f t="shared" si="49"/>
        <v>JCP</v>
      </c>
      <c r="B114" s="15" t="s">
        <v>20</v>
      </c>
      <c r="C114" s="16">
        <v>39987</v>
      </c>
      <c r="D114" s="16">
        <v>39995</v>
      </c>
      <c r="E114" s="89">
        <v>63938.332640000008</v>
      </c>
      <c r="F114" s="90">
        <v>0.42829699999999998</v>
      </c>
      <c r="G114" s="89"/>
      <c r="H114" s="17"/>
      <c r="I114" s="89"/>
      <c r="J114" s="18"/>
      <c r="K114" s="92"/>
      <c r="L114" s="19">
        <f t="shared" si="50"/>
        <v>2009</v>
      </c>
      <c r="M114" s="19">
        <v>2009</v>
      </c>
      <c r="O114" s="38"/>
    </row>
    <row r="115" spans="1:15" x14ac:dyDescent="0.35">
      <c r="A115" s="14" t="str">
        <f t="shared" si="49"/>
        <v>JCP</v>
      </c>
      <c r="B115" s="15" t="s">
        <v>20</v>
      </c>
      <c r="C115" s="16">
        <v>39917</v>
      </c>
      <c r="D115" s="16">
        <v>39927</v>
      </c>
      <c r="E115" s="89">
        <v>63235.647980204405</v>
      </c>
      <c r="F115" s="90">
        <v>0.42359000000000002</v>
      </c>
      <c r="G115" s="89"/>
      <c r="H115" s="17"/>
      <c r="I115" s="89"/>
      <c r="J115" s="18"/>
      <c r="K115" s="92"/>
      <c r="L115" s="19">
        <f t="shared" si="50"/>
        <v>2009</v>
      </c>
      <c r="M115" s="19">
        <v>2009</v>
      </c>
      <c r="O115" s="38"/>
    </row>
    <row r="116" spans="1:15" ht="16" thickBot="1" x14ac:dyDescent="0.4">
      <c r="A116" s="14"/>
      <c r="B116" s="15"/>
      <c r="C116" s="16"/>
      <c r="D116" s="16"/>
      <c r="E116" s="89"/>
      <c r="F116" s="90"/>
      <c r="G116" s="89"/>
      <c r="H116" s="17"/>
      <c r="I116" s="89"/>
      <c r="J116" s="18"/>
      <c r="L116" s="19"/>
      <c r="M116" s="19"/>
      <c r="O116" s="38"/>
    </row>
    <row r="117" spans="1:15" ht="16" thickBot="1" x14ac:dyDescent="0.4">
      <c r="A117" s="14" t="s">
        <v>53</v>
      </c>
      <c r="B117" s="82">
        <v>2008</v>
      </c>
      <c r="C117" s="83"/>
      <c r="D117" s="83"/>
      <c r="E117" s="84">
        <f>SUM(E118:E126)</f>
        <v>734900.96749106969</v>
      </c>
      <c r="F117" s="85">
        <f>SUM(F118:F126)</f>
        <v>4.9228040000000002</v>
      </c>
      <c r="G117" s="84">
        <v>827065</v>
      </c>
      <c r="H117" s="8">
        <f>E117/(G117)</f>
        <v>0.88856494651698437</v>
      </c>
      <c r="I117" s="84">
        <f>G117</f>
        <v>827065</v>
      </c>
      <c r="J117" s="9">
        <f>E117/I117</f>
        <v>0.88856494651698437</v>
      </c>
      <c r="K117" s="91"/>
      <c r="L117" s="19"/>
      <c r="M117" s="19"/>
      <c r="O117" s="38"/>
    </row>
    <row r="118" spans="1:15" x14ac:dyDescent="0.35">
      <c r="A118" s="14" t="str">
        <f t="shared" ref="A118:A126" si="51">LEFT(B118,10)</f>
        <v>Dividendos</v>
      </c>
      <c r="B118" s="15" t="s">
        <v>21</v>
      </c>
      <c r="C118" s="16">
        <v>39919</v>
      </c>
      <c r="D118" s="16">
        <v>39927</v>
      </c>
      <c r="E118" s="89">
        <v>105890.71174879157</v>
      </c>
      <c r="F118" s="90">
        <v>0.70931900000000003</v>
      </c>
      <c r="G118" s="89"/>
      <c r="H118" s="17"/>
      <c r="I118" s="89"/>
      <c r="J118" s="18"/>
      <c r="K118" s="92"/>
      <c r="L118" s="19">
        <f t="shared" ref="L118:L126" si="52">YEAR(D118)</f>
        <v>2009</v>
      </c>
      <c r="M118" s="19">
        <v>2008</v>
      </c>
      <c r="O118" s="38"/>
    </row>
    <row r="119" spans="1:15" x14ac:dyDescent="0.35">
      <c r="A119" s="14" t="str">
        <f t="shared" si="51"/>
        <v>Dividendos</v>
      </c>
      <c r="B119" s="15" t="s">
        <v>21</v>
      </c>
      <c r="C119" s="16">
        <v>39826</v>
      </c>
      <c r="D119" s="16">
        <v>39833</v>
      </c>
      <c r="E119" s="89">
        <v>122500.0154590528</v>
      </c>
      <c r="F119" s="90">
        <v>0.82057800000000003</v>
      </c>
      <c r="G119" s="89"/>
      <c r="H119" s="17"/>
      <c r="I119" s="89"/>
      <c r="J119" s="18"/>
      <c r="K119" s="92"/>
      <c r="L119" s="19">
        <f t="shared" si="52"/>
        <v>2009</v>
      </c>
      <c r="M119" s="19">
        <v>2008</v>
      </c>
      <c r="O119" s="38"/>
    </row>
    <row r="120" spans="1:15" x14ac:dyDescent="0.35">
      <c r="A120" s="14" t="str">
        <f t="shared" si="51"/>
        <v>JCP</v>
      </c>
      <c r="B120" s="15" t="s">
        <v>20</v>
      </c>
      <c r="C120" s="16">
        <v>39797</v>
      </c>
      <c r="D120" s="16">
        <v>39812</v>
      </c>
      <c r="E120" s="89">
        <v>59667.735643447435</v>
      </c>
      <c r="F120" s="90">
        <v>0.39968999999999999</v>
      </c>
      <c r="G120" s="89"/>
      <c r="H120" s="17"/>
      <c r="I120" s="89"/>
      <c r="J120" s="18"/>
      <c r="K120" s="92"/>
      <c r="L120" s="19">
        <f t="shared" si="52"/>
        <v>2008</v>
      </c>
      <c r="M120" s="19">
        <v>2008</v>
      </c>
      <c r="O120" s="38"/>
    </row>
    <row r="121" spans="1:15" x14ac:dyDescent="0.35">
      <c r="A121" s="14" t="str">
        <f t="shared" si="51"/>
        <v>Dividendos</v>
      </c>
      <c r="B121" s="15" t="s">
        <v>21</v>
      </c>
      <c r="C121" s="16">
        <v>39731</v>
      </c>
      <c r="D121" s="16">
        <v>39738</v>
      </c>
      <c r="E121" s="89">
        <v>54611.899362738302</v>
      </c>
      <c r="F121" s="90">
        <v>0.36582300000000001</v>
      </c>
      <c r="G121" s="89"/>
      <c r="H121" s="17"/>
      <c r="I121" s="89"/>
      <c r="J121" s="18"/>
      <c r="K121" s="92"/>
      <c r="L121" s="19">
        <f t="shared" si="52"/>
        <v>2008</v>
      </c>
      <c r="M121" s="19">
        <v>2008</v>
      </c>
      <c r="O121" s="38"/>
    </row>
    <row r="122" spans="1:15" x14ac:dyDescent="0.35">
      <c r="A122" s="14" t="str">
        <f t="shared" si="51"/>
        <v>JCP</v>
      </c>
      <c r="B122" s="15" t="s">
        <v>20</v>
      </c>
      <c r="C122" s="16">
        <v>39731</v>
      </c>
      <c r="D122" s="16">
        <v>39738</v>
      </c>
      <c r="E122" s="89">
        <v>60388.185222409331</v>
      </c>
      <c r="F122" s="90">
        <v>0.40451599999999999</v>
      </c>
      <c r="G122" s="89"/>
      <c r="H122" s="17"/>
      <c r="I122" s="89"/>
      <c r="J122" s="18"/>
      <c r="K122" s="92"/>
      <c r="L122" s="19">
        <f t="shared" si="52"/>
        <v>2008</v>
      </c>
      <c r="M122" s="19">
        <v>2008</v>
      </c>
      <c r="O122" s="38"/>
    </row>
    <row r="123" spans="1:15" x14ac:dyDescent="0.35">
      <c r="A123" s="14" t="str">
        <f t="shared" si="51"/>
        <v>Dividendos</v>
      </c>
      <c r="B123" s="15" t="s">
        <v>21</v>
      </c>
      <c r="C123" s="16">
        <v>39639</v>
      </c>
      <c r="D123" s="16">
        <v>39646</v>
      </c>
      <c r="E123" s="89">
        <v>145000.10665083831</v>
      </c>
      <c r="F123" s="90">
        <v>0.97129699999999997</v>
      </c>
      <c r="G123" s="89"/>
      <c r="H123" s="17"/>
      <c r="I123" s="89"/>
      <c r="J123" s="18"/>
      <c r="K123" s="92"/>
      <c r="L123" s="19">
        <f t="shared" si="52"/>
        <v>2008</v>
      </c>
      <c r="M123" s="19">
        <v>2008</v>
      </c>
    </row>
    <row r="124" spans="1:15" x14ac:dyDescent="0.35">
      <c r="A124" s="14" t="str">
        <f t="shared" si="51"/>
        <v>JCP</v>
      </c>
      <c r="B124" s="15" t="s">
        <v>20</v>
      </c>
      <c r="C124" s="16">
        <v>39639</v>
      </c>
      <c r="D124" s="16">
        <v>39646</v>
      </c>
      <c r="E124" s="89">
        <v>58311.331815339749</v>
      </c>
      <c r="F124" s="90">
        <v>0.39060400000000001</v>
      </c>
      <c r="G124" s="89"/>
      <c r="H124" s="17"/>
      <c r="I124" s="89"/>
      <c r="J124" s="18"/>
      <c r="K124" s="92"/>
      <c r="L124" s="19">
        <f t="shared" si="52"/>
        <v>2008</v>
      </c>
      <c r="M124" s="19">
        <v>2008</v>
      </c>
    </row>
    <row r="125" spans="1:15" x14ac:dyDescent="0.35">
      <c r="A125" s="14" t="str">
        <f t="shared" si="51"/>
        <v>Dividendos</v>
      </c>
      <c r="B125" s="15" t="s">
        <v>21</v>
      </c>
      <c r="C125" s="16">
        <v>39549</v>
      </c>
      <c r="D125" s="16">
        <v>39556</v>
      </c>
      <c r="E125" s="89">
        <v>67000.019423035526</v>
      </c>
      <c r="F125" s="90">
        <v>0.44880599999999998</v>
      </c>
      <c r="G125" s="89"/>
      <c r="H125" s="17"/>
      <c r="I125" s="89"/>
      <c r="J125" s="18"/>
      <c r="K125" s="92"/>
      <c r="L125" s="19">
        <f t="shared" si="52"/>
        <v>2008</v>
      </c>
      <c r="M125" s="19">
        <v>2008</v>
      </c>
      <c r="O125" s="38"/>
    </row>
    <row r="126" spans="1:15" x14ac:dyDescent="0.35">
      <c r="A126" s="14" t="str">
        <f t="shared" si="51"/>
        <v>JCP</v>
      </c>
      <c r="B126" s="15" t="s">
        <v>20</v>
      </c>
      <c r="C126" s="16">
        <v>39539</v>
      </c>
      <c r="D126" s="16">
        <v>39556</v>
      </c>
      <c r="E126" s="89">
        <v>61530.962165416633</v>
      </c>
      <c r="F126" s="90">
        <v>0.41217100000000001</v>
      </c>
      <c r="G126" s="89"/>
      <c r="H126" s="17"/>
      <c r="I126" s="89"/>
      <c r="J126" s="18"/>
      <c r="K126" s="92"/>
      <c r="L126" s="19">
        <f t="shared" si="52"/>
        <v>2008</v>
      </c>
      <c r="M126" s="19">
        <v>2008</v>
      </c>
      <c r="O126" s="38"/>
    </row>
    <row r="127" spans="1:15" ht="16" thickBot="1" x14ac:dyDescent="0.4">
      <c r="A127" s="14"/>
      <c r="B127" s="15"/>
      <c r="C127" s="16"/>
      <c r="D127" s="16"/>
      <c r="E127" s="89"/>
      <c r="F127" s="90"/>
      <c r="G127" s="89"/>
      <c r="H127" s="17"/>
      <c r="I127" s="89"/>
      <c r="J127" s="18"/>
      <c r="L127" s="19"/>
      <c r="M127" s="19"/>
      <c r="O127" s="38"/>
    </row>
    <row r="128" spans="1:15" ht="16" thickBot="1" x14ac:dyDescent="0.4">
      <c r="A128" s="14" t="s">
        <v>53</v>
      </c>
      <c r="B128" s="82">
        <v>2007</v>
      </c>
      <c r="C128" s="83"/>
      <c r="D128" s="83"/>
      <c r="E128" s="84">
        <f>SUM(E129:E135)</f>
        <v>907495.96500854043</v>
      </c>
      <c r="F128" s="85">
        <f>SUM(F129:F135)</f>
        <v>6.0789480000000005</v>
      </c>
      <c r="G128" s="84">
        <v>855483</v>
      </c>
      <c r="H128" s="8">
        <f>E128/(G128)</f>
        <v>1.0607995308013607</v>
      </c>
      <c r="I128" s="84">
        <f>G128</f>
        <v>855483</v>
      </c>
      <c r="J128" s="9">
        <f>E128/I128</f>
        <v>1.0607995308013607</v>
      </c>
      <c r="K128" s="91"/>
      <c r="L128" s="19"/>
      <c r="M128" s="19"/>
      <c r="O128" s="38"/>
    </row>
    <row r="129" spans="1:15" x14ac:dyDescent="0.35">
      <c r="A129" s="14" t="str">
        <f t="shared" ref="A129:A135" si="53">LEFT(B129,10)</f>
        <v>Dividendos</v>
      </c>
      <c r="B129" s="15" t="s">
        <v>21</v>
      </c>
      <c r="C129" s="16">
        <v>39469</v>
      </c>
      <c r="D129" s="16">
        <v>39489</v>
      </c>
      <c r="E129" s="89">
        <v>170000.12503891392</v>
      </c>
      <c r="F129" s="90">
        <v>1.1387620000000001</v>
      </c>
      <c r="G129" s="89"/>
      <c r="H129" s="17"/>
      <c r="I129" s="89"/>
      <c r="J129" s="18"/>
      <c r="K129" s="92"/>
      <c r="L129" s="19">
        <f t="shared" ref="L129:L135" si="54">YEAR(D129)</f>
        <v>2008</v>
      </c>
      <c r="M129" s="19">
        <v>2007</v>
      </c>
      <c r="O129" s="38"/>
    </row>
    <row r="130" spans="1:15" x14ac:dyDescent="0.35">
      <c r="A130" s="14" t="str">
        <f t="shared" si="53"/>
        <v>JCP</v>
      </c>
      <c r="B130" s="15" t="s">
        <v>20</v>
      </c>
      <c r="C130" s="16">
        <v>39429</v>
      </c>
      <c r="D130" s="16">
        <v>39465</v>
      </c>
      <c r="E130" s="89">
        <v>39122.531985127716</v>
      </c>
      <c r="F130" s="90">
        <v>0.26206600000000002</v>
      </c>
      <c r="G130" s="89"/>
      <c r="H130" s="17"/>
      <c r="I130" s="89"/>
      <c r="J130" s="18"/>
      <c r="K130" s="92"/>
      <c r="L130" s="19">
        <f t="shared" si="54"/>
        <v>2008</v>
      </c>
      <c r="M130" s="19">
        <v>2007</v>
      </c>
      <c r="O130" s="38"/>
    </row>
    <row r="131" spans="1:15" x14ac:dyDescent="0.35">
      <c r="A131" s="14" t="str">
        <f t="shared" si="53"/>
        <v>JCP</v>
      </c>
      <c r="B131" s="15" t="s">
        <v>20</v>
      </c>
      <c r="C131" s="16">
        <v>39392</v>
      </c>
      <c r="D131" s="16">
        <v>39405</v>
      </c>
      <c r="E131" s="89">
        <v>199614.84242924183</v>
      </c>
      <c r="F131" s="90">
        <v>1.3371390000000001</v>
      </c>
      <c r="G131" s="89"/>
      <c r="H131" s="17"/>
      <c r="I131" s="89"/>
      <c r="J131" s="18"/>
      <c r="K131" s="92"/>
      <c r="L131" s="19">
        <f t="shared" si="54"/>
        <v>2007</v>
      </c>
      <c r="M131" s="19">
        <v>2007</v>
      </c>
      <c r="O131" s="38"/>
    </row>
    <row r="132" spans="1:15" x14ac:dyDescent="0.35">
      <c r="A132" s="14" t="str">
        <f t="shared" si="53"/>
        <v>Dividendos</v>
      </c>
      <c r="B132" s="15" t="s">
        <v>21</v>
      </c>
      <c r="C132" s="16">
        <v>39357</v>
      </c>
      <c r="D132" s="16">
        <v>39405</v>
      </c>
      <c r="E132" s="89">
        <v>13347.127125206298</v>
      </c>
      <c r="F132" s="90">
        <v>8.9407E-2</v>
      </c>
      <c r="G132" s="89"/>
      <c r="H132" s="17"/>
      <c r="I132" s="89"/>
      <c r="J132" s="18"/>
      <c r="K132" s="92"/>
      <c r="L132" s="19">
        <f t="shared" si="54"/>
        <v>2007</v>
      </c>
      <c r="M132" s="19">
        <v>2007</v>
      </c>
      <c r="O132" s="38"/>
    </row>
    <row r="133" spans="1:15" x14ac:dyDescent="0.35">
      <c r="A133" s="14" t="str">
        <f t="shared" si="53"/>
        <v>Dividendos</v>
      </c>
      <c r="B133" s="15" t="s">
        <v>21</v>
      </c>
      <c r="C133" s="16">
        <v>39357</v>
      </c>
      <c r="D133" s="16">
        <v>39372</v>
      </c>
      <c r="E133" s="89">
        <v>160164.33122219547</v>
      </c>
      <c r="F133" s="90">
        <v>1.0728759999999999</v>
      </c>
      <c r="G133" s="89"/>
      <c r="H133" s="17"/>
      <c r="I133" s="89"/>
      <c r="J133" s="18"/>
      <c r="K133" s="92"/>
      <c r="L133" s="19">
        <f t="shared" si="54"/>
        <v>2007</v>
      </c>
      <c r="M133" s="19">
        <v>2007</v>
      </c>
      <c r="O133" s="38"/>
    </row>
    <row r="134" spans="1:15" x14ac:dyDescent="0.35">
      <c r="A134" s="14" t="str">
        <f t="shared" si="53"/>
        <v>Dividendos</v>
      </c>
      <c r="B134" s="15" t="s">
        <v>21</v>
      </c>
      <c r="C134" s="16">
        <v>39274</v>
      </c>
      <c r="D134" s="16">
        <v>39281</v>
      </c>
      <c r="E134" s="89">
        <v>240246.94468839827</v>
      </c>
      <c r="F134" s="90">
        <v>1.6093170000000001</v>
      </c>
      <c r="G134" s="89"/>
      <c r="H134" s="17"/>
      <c r="I134" s="89"/>
      <c r="J134" s="18"/>
      <c r="K134" s="92"/>
      <c r="L134" s="19">
        <f t="shared" si="54"/>
        <v>2007</v>
      </c>
      <c r="M134" s="19">
        <v>2007</v>
      </c>
      <c r="O134" s="38"/>
    </row>
    <row r="135" spans="1:15" x14ac:dyDescent="0.35">
      <c r="A135" s="14" t="str">
        <f t="shared" si="53"/>
        <v>Dividendos</v>
      </c>
      <c r="B135" s="15" t="s">
        <v>21</v>
      </c>
      <c r="C135" s="16">
        <v>39161</v>
      </c>
      <c r="D135" s="16">
        <v>39168</v>
      </c>
      <c r="E135" s="89">
        <v>85000.062519456958</v>
      </c>
      <c r="F135" s="90">
        <v>0.56938100000000003</v>
      </c>
      <c r="G135" s="89"/>
      <c r="H135" s="17"/>
      <c r="I135" s="89"/>
      <c r="J135" s="18"/>
      <c r="K135" s="92"/>
      <c r="L135" s="19">
        <f t="shared" si="54"/>
        <v>2007</v>
      </c>
      <c r="M135" s="19">
        <v>2007</v>
      </c>
      <c r="O135" s="38"/>
    </row>
    <row r="136" spans="1:15" ht="16" thickBot="1" x14ac:dyDescent="0.4">
      <c r="A136" s="14"/>
      <c r="B136" s="15"/>
      <c r="C136" s="16"/>
      <c r="D136" s="16"/>
      <c r="E136" s="89"/>
      <c r="F136" s="90"/>
      <c r="G136" s="89"/>
      <c r="H136" s="17"/>
      <c r="I136" s="89"/>
      <c r="J136" s="18"/>
      <c r="K136" s="92"/>
      <c r="L136" s="19"/>
      <c r="M136" s="19"/>
      <c r="O136" s="38"/>
    </row>
    <row r="137" spans="1:15" ht="16" thickBot="1" x14ac:dyDescent="0.4">
      <c r="A137" s="14" t="s">
        <v>53</v>
      </c>
      <c r="B137" s="82">
        <v>2006</v>
      </c>
      <c r="C137" s="83"/>
      <c r="D137" s="83"/>
      <c r="E137" s="84">
        <f>SUM(E138:E140)</f>
        <v>185075.52501443966</v>
      </c>
      <c r="F137" s="85">
        <f>SUM(F138:F140)</f>
        <v>1.239746</v>
      </c>
      <c r="G137" s="84">
        <v>117752</v>
      </c>
      <c r="H137" s="8">
        <f>E137/(G137)</f>
        <v>1.5717399705689896</v>
      </c>
      <c r="I137" s="84">
        <f>G137</f>
        <v>117752</v>
      </c>
      <c r="J137" s="9">
        <f>E137/I137</f>
        <v>1.5717399705689896</v>
      </c>
      <c r="K137" s="91"/>
      <c r="L137" s="19"/>
      <c r="M137" s="19"/>
    </row>
    <row r="138" spans="1:15" x14ac:dyDescent="0.35">
      <c r="A138" s="14" t="str">
        <f t="shared" ref="A138:A140" si="55">LEFT(B138,10)</f>
        <v>Dividendos</v>
      </c>
      <c r="B138" s="15" t="s">
        <v>21</v>
      </c>
      <c r="C138" s="16">
        <v>39161</v>
      </c>
      <c r="D138" s="16">
        <v>39168</v>
      </c>
      <c r="E138" s="89">
        <v>60598.527836739471</v>
      </c>
      <c r="F138" s="90">
        <v>0.40592499999999998</v>
      </c>
      <c r="G138" s="89"/>
      <c r="H138" s="17"/>
      <c r="I138" s="89"/>
      <c r="J138" s="18"/>
      <c r="K138" s="92"/>
      <c r="L138" s="19">
        <f>YEAR(D138)</f>
        <v>2007</v>
      </c>
      <c r="M138" s="19">
        <v>2006</v>
      </c>
      <c r="O138" s="38"/>
    </row>
    <row r="139" spans="1:15" x14ac:dyDescent="0.35">
      <c r="A139" s="14" t="str">
        <f t="shared" si="55"/>
        <v>JCP</v>
      </c>
      <c r="B139" s="15" t="s">
        <v>20</v>
      </c>
      <c r="C139" s="16">
        <v>38863</v>
      </c>
      <c r="D139" s="16">
        <v>39168</v>
      </c>
      <c r="E139" s="89">
        <v>27177.042053637368</v>
      </c>
      <c r="F139" s="90">
        <v>0.18204799999999999</v>
      </c>
      <c r="G139" s="89"/>
      <c r="H139" s="17"/>
      <c r="I139" s="89"/>
      <c r="J139" s="18"/>
      <c r="K139" s="92"/>
      <c r="L139" s="19">
        <f>YEAR(D139)</f>
        <v>2007</v>
      </c>
      <c r="M139" s="19">
        <v>2006</v>
      </c>
      <c r="O139" s="38"/>
    </row>
    <row r="140" spans="1:15" x14ac:dyDescent="0.35">
      <c r="A140" s="14" t="str">
        <f t="shared" si="55"/>
        <v>Dividendos</v>
      </c>
      <c r="B140" s="15" t="s">
        <v>21</v>
      </c>
      <c r="C140" s="16">
        <v>38828</v>
      </c>
      <c r="D140" s="16">
        <v>38887</v>
      </c>
      <c r="E140" s="89">
        <v>97299.955124062821</v>
      </c>
      <c r="F140" s="90">
        <v>0.65177300000000005</v>
      </c>
      <c r="G140" s="89"/>
      <c r="H140" s="17"/>
      <c r="I140" s="89"/>
      <c r="J140" s="18"/>
      <c r="K140" s="92"/>
      <c r="L140" s="19">
        <f>YEAR(D140)</f>
        <v>2006</v>
      </c>
      <c r="M140" s="19">
        <v>2006</v>
      </c>
      <c r="O140" s="38"/>
    </row>
    <row r="141" spans="1:15" ht="16" thickBot="1" x14ac:dyDescent="0.4">
      <c r="A141" s="14"/>
      <c r="B141" s="15"/>
      <c r="C141" s="16"/>
      <c r="D141" s="16"/>
      <c r="E141" s="89"/>
      <c r="F141" s="90"/>
      <c r="G141" s="89"/>
      <c r="H141" s="17"/>
      <c r="I141" s="89"/>
      <c r="J141" s="18"/>
      <c r="K141" s="92"/>
      <c r="L141" s="19"/>
      <c r="M141" s="19"/>
      <c r="O141" s="38"/>
    </row>
    <row r="142" spans="1:15" ht="16" thickBot="1" x14ac:dyDescent="0.4">
      <c r="A142" s="14" t="s">
        <v>53</v>
      </c>
      <c r="B142" s="82">
        <v>2005</v>
      </c>
      <c r="C142" s="83"/>
      <c r="D142" s="83"/>
      <c r="E142" s="84">
        <f>SUM(E143:E145)</f>
        <v>239353.77232392895</v>
      </c>
      <c r="F142" s="85">
        <f>SUM(F143:F145)</f>
        <v>1.603334</v>
      </c>
      <c r="G142" s="84">
        <v>468277</v>
      </c>
      <c r="H142" s="8">
        <f>E142/(G142)</f>
        <v>0.51113715242031732</v>
      </c>
      <c r="I142" s="84">
        <f>G142</f>
        <v>468277</v>
      </c>
      <c r="J142" s="9">
        <f>E142/I142</f>
        <v>0.51113715242031732</v>
      </c>
      <c r="K142" s="91"/>
      <c r="L142" s="19"/>
      <c r="M142" s="19"/>
    </row>
    <row r="143" spans="1:15" x14ac:dyDescent="0.35">
      <c r="A143" s="14" t="str">
        <f t="shared" ref="A143:A145" si="56">LEFT(B143,10)</f>
        <v>JCP</v>
      </c>
      <c r="B143" s="15" t="s">
        <v>20</v>
      </c>
      <c r="C143" s="16">
        <v>38715</v>
      </c>
      <c r="D143" s="16">
        <v>38730</v>
      </c>
      <c r="E143" s="89">
        <v>89999.91691203705</v>
      </c>
      <c r="F143" s="90">
        <v>0.60287299999999999</v>
      </c>
      <c r="G143" s="89"/>
      <c r="H143" s="17"/>
      <c r="I143" s="89"/>
      <c r="J143" s="18"/>
      <c r="K143" s="92"/>
      <c r="L143" s="19">
        <f>YEAR(D143)</f>
        <v>2006</v>
      </c>
      <c r="M143" s="19">
        <v>2005</v>
      </c>
      <c r="O143" s="38"/>
    </row>
    <row r="144" spans="1:15" x14ac:dyDescent="0.35">
      <c r="A144" s="14" t="str">
        <f t="shared" si="56"/>
        <v>JCP</v>
      </c>
      <c r="B144" s="15" t="s">
        <v>20</v>
      </c>
      <c r="C144" s="16">
        <v>38618</v>
      </c>
      <c r="D144" s="16">
        <v>38632</v>
      </c>
      <c r="E144" s="89">
        <v>94999.92058965216</v>
      </c>
      <c r="F144" s="90">
        <v>0.63636599999999999</v>
      </c>
      <c r="G144" s="89"/>
      <c r="H144" s="17"/>
      <c r="I144" s="89"/>
      <c r="J144" s="18"/>
      <c r="K144" s="92"/>
      <c r="L144" s="19">
        <f>YEAR(D144)</f>
        <v>2005</v>
      </c>
      <c r="M144" s="19">
        <v>2005</v>
      </c>
      <c r="O144" s="38"/>
    </row>
    <row r="145" spans="1:15" x14ac:dyDescent="0.35">
      <c r="A145" s="14" t="str">
        <f t="shared" si="56"/>
        <v>JCP</v>
      </c>
      <c r="B145" s="15" t="s">
        <v>20</v>
      </c>
      <c r="C145" s="16">
        <v>38527</v>
      </c>
      <c r="D145" s="16">
        <v>38687</v>
      </c>
      <c r="E145" s="89">
        <v>54353.934822239724</v>
      </c>
      <c r="F145" s="90">
        <v>0.364095</v>
      </c>
      <c r="G145" s="89"/>
      <c r="H145" s="17"/>
      <c r="I145" s="89"/>
      <c r="J145" s="18"/>
      <c r="K145" s="92"/>
      <c r="L145" s="19">
        <f>YEAR(D145)</f>
        <v>2005</v>
      </c>
      <c r="M145" s="19">
        <v>2005</v>
      </c>
    </row>
    <row r="146" spans="1:15" ht="16" thickBot="1" x14ac:dyDescent="0.4">
      <c r="A146" s="14"/>
      <c r="B146" s="15"/>
      <c r="C146" s="16"/>
      <c r="D146" s="16"/>
      <c r="E146" s="89"/>
      <c r="F146" s="90"/>
      <c r="G146" s="89"/>
      <c r="H146" s="17"/>
      <c r="I146" s="89"/>
      <c r="J146" s="18"/>
      <c r="L146" s="19"/>
      <c r="M146" s="19"/>
    </row>
    <row r="147" spans="1:15" ht="16" thickBot="1" x14ac:dyDescent="0.4">
      <c r="A147" s="14" t="s">
        <v>53</v>
      </c>
      <c r="B147" s="82">
        <v>2004</v>
      </c>
      <c r="C147" s="83"/>
      <c r="D147" s="83"/>
      <c r="E147" s="84">
        <f>SUM(E148)</f>
        <v>74999.995450212722</v>
      </c>
      <c r="F147" s="85">
        <f>SUM(F148)</f>
        <v>0.50239460000000002</v>
      </c>
      <c r="G147" s="84">
        <v>348778</v>
      </c>
      <c r="H147" s="8">
        <f>E147/(G147)</f>
        <v>0.21503648581680243</v>
      </c>
      <c r="I147" s="84">
        <f>G147</f>
        <v>348778</v>
      </c>
      <c r="J147" s="9">
        <f>E147/I147</f>
        <v>0.21503648581680243</v>
      </c>
      <c r="K147" s="91"/>
      <c r="L147" s="19"/>
      <c r="M147" s="19"/>
      <c r="O147" s="40"/>
    </row>
    <row r="148" spans="1:15" x14ac:dyDescent="0.35">
      <c r="A148" s="14" t="str">
        <f t="shared" ref="A148" si="57">LEFT(B148,10)</f>
        <v>JCP</v>
      </c>
      <c r="B148" s="15" t="s">
        <v>20</v>
      </c>
      <c r="C148" s="16">
        <v>38324</v>
      </c>
      <c r="D148" s="16">
        <v>38526</v>
      </c>
      <c r="E148" s="89">
        <v>74999.995450212722</v>
      </c>
      <c r="F148" s="90">
        <v>0.50239460000000002</v>
      </c>
      <c r="G148" s="89"/>
      <c r="H148" s="17"/>
      <c r="I148" s="89"/>
      <c r="J148" s="18"/>
      <c r="K148" s="92"/>
      <c r="L148" s="19">
        <f>YEAR(D148)</f>
        <v>2005</v>
      </c>
      <c r="M148" s="19">
        <v>2004</v>
      </c>
    </row>
    <row r="149" spans="1:15" ht="14.5" customHeight="1" thickBot="1" x14ac:dyDescent="0.4">
      <c r="A149" s="14"/>
      <c r="B149" s="15"/>
      <c r="C149" s="16"/>
      <c r="D149" s="16"/>
      <c r="E149" s="89"/>
      <c r="F149" s="90"/>
      <c r="G149" s="89"/>
      <c r="H149" s="17"/>
      <c r="I149" s="89"/>
      <c r="J149" s="18"/>
      <c r="L149" s="19"/>
      <c r="M149" s="19"/>
    </row>
    <row r="150" spans="1:15" ht="16" thickBot="1" x14ac:dyDescent="0.4">
      <c r="A150" s="14" t="s">
        <v>53</v>
      </c>
      <c r="B150" s="82">
        <v>2003</v>
      </c>
      <c r="C150" s="83"/>
      <c r="D150" s="83"/>
      <c r="E150" s="84">
        <f>SUM(E151)</f>
        <v>147248.99613225434</v>
      </c>
      <c r="F150" s="85">
        <f>SUM(F151)</f>
        <v>0.98636140000000005</v>
      </c>
      <c r="G150" s="84">
        <v>222376</v>
      </c>
      <c r="H150" s="8">
        <f>E150/(G150)</f>
        <v>0.66216226630686015</v>
      </c>
      <c r="I150" s="84">
        <f>G150</f>
        <v>222376</v>
      </c>
      <c r="J150" s="9">
        <f>E150/I150</f>
        <v>0.66216226630686015</v>
      </c>
      <c r="K150" s="91"/>
      <c r="L150" s="19"/>
      <c r="M150" s="19"/>
      <c r="O150" s="40"/>
    </row>
    <row r="151" spans="1:15" x14ac:dyDescent="0.35">
      <c r="A151" s="14" t="str">
        <f t="shared" ref="A151" si="58">LEFT(B151,10)</f>
        <v>JCP</v>
      </c>
      <c r="B151" s="15" t="s">
        <v>20</v>
      </c>
      <c r="C151" s="16">
        <v>37883</v>
      </c>
      <c r="D151" s="16">
        <v>38159</v>
      </c>
      <c r="E151" s="89">
        <v>147248.99613225434</v>
      </c>
      <c r="F151" s="90">
        <v>0.98636140000000005</v>
      </c>
      <c r="G151" s="89"/>
      <c r="H151" s="17"/>
      <c r="I151" s="89"/>
      <c r="J151" s="18"/>
      <c r="K151" s="92"/>
      <c r="L151" s="19">
        <f>YEAR(D151)</f>
        <v>2004</v>
      </c>
      <c r="M151" s="19">
        <v>2003</v>
      </c>
      <c r="O151" s="40"/>
    </row>
    <row r="152" spans="1:15" ht="16" thickBot="1" x14ac:dyDescent="0.4">
      <c r="A152" s="14"/>
      <c r="B152" s="15"/>
      <c r="C152" s="16"/>
      <c r="D152" s="16"/>
      <c r="E152" s="89"/>
      <c r="F152" s="90"/>
      <c r="G152" s="89"/>
      <c r="H152" s="17"/>
      <c r="I152" s="89"/>
      <c r="J152" s="18"/>
      <c r="L152" s="19"/>
      <c r="M152" s="19"/>
      <c r="O152" s="40"/>
    </row>
    <row r="153" spans="1:15" ht="16" thickBot="1" x14ac:dyDescent="0.4">
      <c r="A153" s="14" t="s">
        <v>53</v>
      </c>
      <c r="B153" s="82">
        <v>2002</v>
      </c>
      <c r="C153" s="83"/>
      <c r="D153" s="83"/>
      <c r="E153" s="84">
        <f>SUM(E154:E157)</f>
        <v>149134.83933702763</v>
      </c>
      <c r="F153" s="85">
        <f>SUM(F154:F157)</f>
        <v>0.99899389999999988</v>
      </c>
      <c r="G153" s="84">
        <v>168137</v>
      </c>
      <c r="H153" s="8">
        <f>E153/(G153)</f>
        <v>0.88698406262171703</v>
      </c>
      <c r="I153" s="84">
        <f>G153</f>
        <v>168137</v>
      </c>
      <c r="J153" s="9">
        <f>E153/I153</f>
        <v>0.88698406262171703</v>
      </c>
      <c r="K153" s="91"/>
      <c r="L153" s="19"/>
      <c r="M153" s="19"/>
      <c r="O153" s="40"/>
    </row>
    <row r="154" spans="1:15" x14ac:dyDescent="0.35">
      <c r="A154" s="14" t="str">
        <f t="shared" ref="A154:A157" si="59">LEFT(B154,10)</f>
        <v>Dividendos</v>
      </c>
      <c r="B154" s="15" t="s">
        <v>21</v>
      </c>
      <c r="C154" s="16">
        <v>37737</v>
      </c>
      <c r="D154" s="16">
        <v>37796</v>
      </c>
      <c r="E154" s="89">
        <v>12782.068339187104</v>
      </c>
      <c r="F154" s="90">
        <v>8.5621900000000001E-2</v>
      </c>
      <c r="G154" s="89"/>
      <c r="H154" s="17"/>
      <c r="I154" s="89"/>
      <c r="J154" s="18"/>
      <c r="K154" s="92"/>
      <c r="L154" s="19">
        <f>YEAR(D154)</f>
        <v>2003</v>
      </c>
      <c r="M154" s="19">
        <v>2002</v>
      </c>
    </row>
    <row r="155" spans="1:15" x14ac:dyDescent="0.35">
      <c r="A155" s="14" t="str">
        <f t="shared" si="59"/>
        <v>JCP</v>
      </c>
      <c r="B155" s="15" t="s">
        <v>20</v>
      </c>
      <c r="C155" s="16">
        <v>37618</v>
      </c>
      <c r="D155" s="16">
        <v>37666</v>
      </c>
      <c r="E155" s="89">
        <v>49999.88749111614</v>
      </c>
      <c r="F155" s="90">
        <v>0.33492899999999998</v>
      </c>
      <c r="G155" s="89"/>
      <c r="H155" s="17"/>
      <c r="I155" s="89"/>
      <c r="J155" s="18"/>
      <c r="K155" s="92"/>
      <c r="L155" s="19">
        <f>YEAR(D155)</f>
        <v>2003</v>
      </c>
      <c r="M155" s="19">
        <v>2002</v>
      </c>
    </row>
    <row r="156" spans="1:15" x14ac:dyDescent="0.35">
      <c r="A156" s="14" t="str">
        <f t="shared" si="59"/>
        <v>JCP</v>
      </c>
      <c r="B156" s="15" t="s">
        <v>20</v>
      </c>
      <c r="C156" s="16">
        <v>37533</v>
      </c>
      <c r="D156" s="16">
        <v>37582</v>
      </c>
      <c r="E156" s="89">
        <v>31999.993679729734</v>
      </c>
      <c r="F156" s="90">
        <v>0.21435499999999999</v>
      </c>
      <c r="G156" s="89"/>
      <c r="H156" s="17"/>
      <c r="I156" s="89"/>
      <c r="J156" s="18"/>
      <c r="K156" s="92"/>
      <c r="L156" s="19">
        <f>YEAR(D156)</f>
        <v>2002</v>
      </c>
      <c r="M156" s="19">
        <v>2002</v>
      </c>
    </row>
    <row r="157" spans="1:15" x14ac:dyDescent="0.35">
      <c r="A157" s="14" t="str">
        <f t="shared" si="59"/>
        <v>JCP</v>
      </c>
      <c r="B157" s="15" t="s">
        <v>20</v>
      </c>
      <c r="C157" s="16">
        <v>37442</v>
      </c>
      <c r="D157" s="16">
        <v>37491</v>
      </c>
      <c r="E157" s="89">
        <v>54352.889826994666</v>
      </c>
      <c r="F157" s="90">
        <v>0.36408800000000002</v>
      </c>
      <c r="G157" s="89"/>
      <c r="H157" s="17"/>
      <c r="I157" s="89"/>
      <c r="J157" s="18"/>
      <c r="K157" s="92"/>
      <c r="L157" s="19">
        <f>YEAR(D157)</f>
        <v>2002</v>
      </c>
      <c r="M157" s="19">
        <v>2002</v>
      </c>
    </row>
    <row r="158" spans="1:15" x14ac:dyDescent="0.35">
      <c r="B158" s="42"/>
      <c r="C158" s="43"/>
      <c r="D158" s="43"/>
      <c r="E158" s="44"/>
      <c r="F158" s="45"/>
      <c r="G158" s="44"/>
      <c r="H158" s="46"/>
      <c r="I158" s="44"/>
      <c r="J158" s="47"/>
      <c r="L158" s="19"/>
      <c r="M158" s="19"/>
    </row>
    <row r="160" spans="1:15" x14ac:dyDescent="0.35">
      <c r="B160" s="48" t="s">
        <v>25</v>
      </c>
      <c r="C160" s="49"/>
      <c r="D160" s="49"/>
      <c r="E160" s="50"/>
      <c r="F160" s="51"/>
      <c r="G160" s="50"/>
      <c r="H160" s="49"/>
      <c r="I160" s="50"/>
      <c r="J160" s="49"/>
    </row>
    <row r="161" spans="2:9" x14ac:dyDescent="0.35">
      <c r="B161" s="48" t="s">
        <v>26</v>
      </c>
    </row>
    <row r="162" spans="2:9" x14ac:dyDescent="0.35">
      <c r="B162" s="48" t="s">
        <v>54</v>
      </c>
    </row>
    <row r="164" spans="2:9" x14ac:dyDescent="0.35">
      <c r="C164" s="32" t="s">
        <v>52</v>
      </c>
      <c r="E164" s="52">
        <f>SUMIF($A$7:$A$158,"ano",E$7:E$158)</f>
        <v>18037024.380118228</v>
      </c>
      <c r="F164" s="99">
        <f>SUMIF($A$7:$A$158,"ano",F$7:F$158)</f>
        <v>69.614892900001408</v>
      </c>
      <c r="G164" s="52">
        <f t="shared" ref="G164" si="60">SUMIF($A$7:$A$158,"ano",G$7:G$158)</f>
        <v>39623004.216409922</v>
      </c>
      <c r="I164" s="52">
        <f>SUMIF($A$7:$A$158,"ano",I$7:I$158)</f>
        <v>22921727.626860015</v>
      </c>
    </row>
  </sheetData>
  <autoFilter ref="A6:J19" xr:uid="{7C93ECE4-2320-4EDE-948D-69DA7875FEEF}"/>
  <mergeCells count="1">
    <mergeCell ref="B1:B4"/>
  </mergeCells>
  <hyperlinks>
    <hyperlink ref="F2" location="Menu!A1" display="→Menu←" xr:uid="{B5FA7C62-A31D-4EF7-84C1-1296F3D7E979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91CC-83D3-41F3-A9D0-713D75CD2C68}">
  <dimension ref="A1:AJ161"/>
  <sheetViews>
    <sheetView showGridLines="0" tabSelected="1" topLeftCell="B1" zoomScale="70" zoomScaleNormal="70" workbookViewId="0">
      <selection activeCell="E11" sqref="E11"/>
    </sheetView>
  </sheetViews>
  <sheetFormatPr defaultColWidth="8.81640625" defaultRowHeight="15.5" outlineLevelCol="1" x14ac:dyDescent="0.35"/>
  <cols>
    <col min="1" max="1" width="10.81640625" style="1" hidden="1" customWidth="1" outlineLevel="1"/>
    <col min="2" max="2" width="16.1796875" style="32" bestFit="1" customWidth="1" collapsed="1"/>
    <col min="3" max="3" width="15.81640625" style="32" customWidth="1"/>
    <col min="4" max="4" width="19.26953125" style="32" customWidth="1"/>
    <col min="5" max="5" width="21.08984375" style="52" customWidth="1"/>
    <col min="6" max="6" width="19.26953125" style="53" customWidth="1"/>
    <col min="7" max="7" width="21.36328125" style="52" customWidth="1"/>
    <col min="8" max="8" width="19.26953125" style="32" customWidth="1"/>
    <col min="9" max="9" width="20.81640625" style="52" customWidth="1"/>
    <col min="10" max="10" width="19.26953125" style="32" customWidth="1"/>
    <col min="11" max="11" width="4.36328125" style="7" customWidth="1"/>
    <col min="12" max="13" width="8.81640625" style="6" hidden="1" customWidth="1" outlineLevel="1"/>
    <col min="14" max="14" width="5.453125" style="7" customWidth="1" collapsed="1"/>
    <col min="15" max="15" width="13.81640625" style="32" customWidth="1"/>
    <col min="16" max="16" width="20.54296875" style="32" customWidth="1"/>
    <col min="17" max="17" width="21.1796875" style="32" customWidth="1"/>
    <col min="18" max="18" width="20" style="7" customWidth="1"/>
    <col min="19" max="20" width="17.1796875" style="7" customWidth="1"/>
    <col min="21" max="21" width="8.81640625" style="7"/>
    <col min="22" max="22" width="11.1796875" style="32" customWidth="1"/>
    <col min="23" max="23" width="18.1796875" style="32" customWidth="1"/>
    <col min="24" max="24" width="20.36328125" style="32" customWidth="1"/>
    <col min="25" max="26" width="21.6328125" style="7" customWidth="1"/>
    <col min="27" max="27" width="28.6328125" style="7" customWidth="1"/>
    <col min="28" max="28" width="13.453125" style="37" customWidth="1"/>
    <col min="29" max="16384" width="8.81640625" style="7"/>
  </cols>
  <sheetData>
    <row r="1" spans="1:36" s="62" customFormat="1" ht="14" x14ac:dyDescent="0.3">
      <c r="A1" s="57"/>
      <c r="B1" s="112" t="e" vm="1">
        <v>#VALUE!</v>
      </c>
      <c r="C1" s="58"/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/>
    </row>
    <row r="2" spans="1:36" s="62" customFormat="1" ht="14" x14ac:dyDescent="0.3">
      <c r="A2" s="57"/>
      <c r="B2" s="113"/>
      <c r="C2" s="63" t="s">
        <v>48</v>
      </c>
      <c r="D2" s="70">
        <v>46022</v>
      </c>
      <c r="E2" s="63"/>
      <c r="F2" s="64" t="s">
        <v>49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5"/>
    </row>
    <row r="3" spans="1:36" s="62" customFormat="1" ht="14" x14ac:dyDescent="0.3">
      <c r="A3" s="57"/>
      <c r="B3" s="113"/>
      <c r="C3" s="63" t="s">
        <v>50</v>
      </c>
      <c r="D3" s="71" t="s">
        <v>51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5"/>
    </row>
    <row r="4" spans="1:36" s="62" customFormat="1" ht="16" thickBot="1" x14ac:dyDescent="0.4">
      <c r="A4" s="57"/>
      <c r="B4" s="114"/>
      <c r="C4" s="66"/>
      <c r="D4" s="66"/>
      <c r="E4" s="66"/>
      <c r="F4" s="67"/>
      <c r="G4" s="67"/>
      <c r="H4" s="67"/>
      <c r="I4" s="6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9"/>
    </row>
    <row r="5" spans="1:36" s="62" customFormat="1" x14ac:dyDescent="0.35">
      <c r="A5" s="57"/>
      <c r="B5" s="72"/>
      <c r="C5" s="73"/>
      <c r="D5" s="73"/>
      <c r="E5" s="73"/>
      <c r="F5" s="74"/>
      <c r="G5" s="74"/>
      <c r="H5" s="74"/>
      <c r="I5" s="75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</row>
    <row r="6" spans="1:36" ht="68.5" customHeight="1" thickBot="1" x14ac:dyDescent="0.4">
      <c r="B6" s="95" t="s">
        <v>28</v>
      </c>
      <c r="C6" s="95" t="s">
        <v>29</v>
      </c>
      <c r="D6" s="95" t="s">
        <v>30</v>
      </c>
      <c r="E6" s="95" t="s">
        <v>31</v>
      </c>
      <c r="F6" s="95" t="s">
        <v>32</v>
      </c>
      <c r="G6" s="95" t="s">
        <v>33</v>
      </c>
      <c r="H6" s="95" t="s">
        <v>34</v>
      </c>
      <c r="I6" s="95" t="s">
        <v>35</v>
      </c>
      <c r="J6" s="95" t="s">
        <v>36</v>
      </c>
      <c r="L6" s="6" t="s">
        <v>37</v>
      </c>
      <c r="M6" s="6" t="s">
        <v>38</v>
      </c>
      <c r="O6" s="94" t="s">
        <v>37</v>
      </c>
      <c r="P6" s="94" t="s">
        <v>39</v>
      </c>
      <c r="Q6" s="94" t="s">
        <v>40</v>
      </c>
      <c r="R6" s="94" t="s">
        <v>31</v>
      </c>
      <c r="S6" s="94" t="s">
        <v>32</v>
      </c>
      <c r="T6" s="94" t="s">
        <v>41</v>
      </c>
      <c r="V6" s="94" t="s">
        <v>38</v>
      </c>
      <c r="W6" s="94" t="s">
        <v>39</v>
      </c>
      <c r="X6" s="94" t="s">
        <v>40</v>
      </c>
      <c r="Y6" s="94" t="s">
        <v>31</v>
      </c>
      <c r="Z6" s="94" t="s">
        <v>32</v>
      </c>
      <c r="AA6" s="94" t="s">
        <v>35</v>
      </c>
      <c r="AB6" s="94" t="s">
        <v>36</v>
      </c>
    </row>
    <row r="7" spans="1:36" ht="16" thickBot="1" x14ac:dyDescent="0.4">
      <c r="B7" s="82">
        <v>2025</v>
      </c>
      <c r="C7" s="83"/>
      <c r="D7" s="83"/>
      <c r="E7" s="84">
        <f>SUM(E8:E10)</f>
        <v>279322.37570999999</v>
      </c>
      <c r="F7" s="85">
        <f>SUM(F8:F10)</f>
        <v>0.423933</v>
      </c>
      <c r="G7" s="84">
        <f>'Proventos (port)'!G8</f>
        <v>2447897.9639100065</v>
      </c>
      <c r="H7" s="8">
        <f>E7/G7</f>
        <v>0.11410703380129487</v>
      </c>
      <c r="I7" s="84">
        <f>'Proventos (port)'!I8</f>
        <v>1625761.8764800001</v>
      </c>
      <c r="J7" s="9">
        <f>E7/I7</f>
        <v>0.17181014006477485</v>
      </c>
      <c r="O7" s="20">
        <v>2026</v>
      </c>
      <c r="P7" s="79">
        <f>'Proventos (port)'!P7</f>
        <v>495255</v>
      </c>
      <c r="Q7" s="21">
        <f>'Proventos (port)'!Q7</f>
        <v>279322.37571000005</v>
      </c>
      <c r="R7" s="79">
        <f>'Proventos (port)'!R7</f>
        <v>774577.37571000005</v>
      </c>
      <c r="S7" s="104">
        <f>'Proventos (port)'!S7</f>
        <v>0.75165900000000008</v>
      </c>
      <c r="T7" s="80">
        <f>'Proventos (port)'!T7</f>
        <v>0.423933</v>
      </c>
      <c r="V7" s="20">
        <f>O7</f>
        <v>2026</v>
      </c>
      <c r="W7" s="79">
        <f>'Proventos (port)'!W7</f>
        <v>0</v>
      </c>
      <c r="X7" s="21">
        <f>'Proventos (port)'!X7</f>
        <v>0</v>
      </c>
      <c r="Y7" s="79">
        <f>'Proventos (port)'!Y7</f>
        <v>0</v>
      </c>
      <c r="Z7" s="102">
        <f>'Proventos (port)'!Z7</f>
        <v>0</v>
      </c>
      <c r="AA7" s="106">
        <f>'Proventos (port)'!AA7</f>
        <v>0</v>
      </c>
      <c r="AB7" s="21" t="str">
        <f>'Proventos (port)'!AB7</f>
        <v>N/A</v>
      </c>
    </row>
    <row r="8" spans="1:36" x14ac:dyDescent="0.35">
      <c r="B8" s="15" t="s">
        <v>43</v>
      </c>
      <c r="C8" s="56">
        <v>46093</v>
      </c>
      <c r="D8" s="56">
        <v>46141</v>
      </c>
      <c r="E8" s="89">
        <v>93107.458570000003</v>
      </c>
      <c r="F8" s="90">
        <v>0.14131099999999999</v>
      </c>
      <c r="G8" s="89"/>
      <c r="H8" s="17"/>
      <c r="I8" s="89"/>
      <c r="J8" s="18"/>
      <c r="L8" s="6">
        <f>'Proventos (port)'!L9</f>
        <v>2026</v>
      </c>
      <c r="M8" s="6">
        <f>'Proventos (port)'!M9</f>
        <v>2025</v>
      </c>
      <c r="O8" s="10">
        <v>2025</v>
      </c>
      <c r="P8" s="86">
        <f>'Proventos (port)'!P8</f>
        <v>2000259.01856</v>
      </c>
      <c r="Q8" s="11">
        <f>'Proventos (port)'!Q8</f>
        <v>0</v>
      </c>
      <c r="R8" s="86">
        <f>'Proventos (port)'!R8</f>
        <v>2000259.01856</v>
      </c>
      <c r="S8" s="103">
        <f>'Proventos (port)'!S8</f>
        <v>3.0358320000017605</v>
      </c>
      <c r="T8" s="87">
        <f>'Proventos (port)'!T8</f>
        <v>0</v>
      </c>
      <c r="V8" s="10">
        <f>O8</f>
        <v>2025</v>
      </c>
      <c r="W8" s="86">
        <f>'Proventos (port)'!W8</f>
        <v>939999.2535600001</v>
      </c>
      <c r="X8" s="11">
        <f>'Proventos (port)'!X8</f>
        <v>279322.37571000005</v>
      </c>
      <c r="Y8" s="86">
        <f>'Proventos (port)'!Y8</f>
        <v>1219321.6292700002</v>
      </c>
      <c r="Z8" s="101">
        <f>'Proventos (port)'!Z8</f>
        <v>1.8505889999999998</v>
      </c>
      <c r="AA8" s="105">
        <f>'Proventos (port)'!AA8</f>
        <v>1625761.8764800001</v>
      </c>
      <c r="AB8" s="107">
        <f>'Proventos (port)'!AB8</f>
        <v>0.75000013649600428</v>
      </c>
    </row>
    <row r="9" spans="1:36" x14ac:dyDescent="0.35">
      <c r="B9" s="15" t="s">
        <v>43</v>
      </c>
      <c r="C9" s="56">
        <v>46118</v>
      </c>
      <c r="D9" s="56">
        <v>46141</v>
      </c>
      <c r="E9" s="89">
        <v>93107.458570000003</v>
      </c>
      <c r="F9" s="90">
        <v>0.14131099999999999</v>
      </c>
      <c r="G9" s="89"/>
      <c r="H9" s="17"/>
      <c r="I9" s="89"/>
      <c r="J9" s="18"/>
      <c r="L9" s="6">
        <f>'Proventos (port)'!L10</f>
        <v>2026</v>
      </c>
      <c r="M9" s="6">
        <f>'Proventos (port)'!M10</f>
        <v>2025</v>
      </c>
      <c r="O9" s="20">
        <v>2024</v>
      </c>
      <c r="P9" s="79">
        <f>'Proventos (port)'!P9</f>
        <v>1452233.48933</v>
      </c>
      <c r="Q9" s="21">
        <f>'Proventos (port)'!Q9</f>
        <v>0</v>
      </c>
      <c r="R9" s="79">
        <f>'Proventos (port)'!R9</f>
        <v>1452233.48933</v>
      </c>
      <c r="S9" s="104">
        <f>'Proventos (port)'!S9</f>
        <v>2.2040829999996481</v>
      </c>
      <c r="T9" s="80">
        <f>'Proventos (port)'!T9</f>
        <v>0</v>
      </c>
      <c r="V9" s="20">
        <f>O9</f>
        <v>2024</v>
      </c>
      <c r="W9" s="79">
        <f>'Proventos (port)'!W9</f>
        <v>1555514.7649999999</v>
      </c>
      <c r="X9" s="21">
        <f>'Proventos (port)'!X9</f>
        <v>0</v>
      </c>
      <c r="Y9" s="79">
        <f>'Proventos (port)'!Y9</f>
        <v>1555514.7649999999</v>
      </c>
      <c r="Z9" s="102">
        <f>'Proventos (port)'!Z9</f>
        <v>2.3608350000017602</v>
      </c>
      <c r="AA9" s="106">
        <f>'Proventos (port)'!AA9</f>
        <v>2076570.9974200181</v>
      </c>
      <c r="AB9" s="108">
        <f>'Proventos (port)'!AB9</f>
        <v>0.74907853713290273</v>
      </c>
    </row>
    <row r="10" spans="1:36" ht="16" thickBot="1" x14ac:dyDescent="0.4">
      <c r="B10" s="15" t="s">
        <v>43</v>
      </c>
      <c r="C10" s="56">
        <v>46132</v>
      </c>
      <c r="D10" s="56">
        <v>46141</v>
      </c>
      <c r="E10" s="89">
        <v>93107.458570000003</v>
      </c>
      <c r="F10" s="90">
        <v>0.14131099999999999</v>
      </c>
      <c r="G10" s="89"/>
      <c r="H10" s="17"/>
      <c r="I10" s="89"/>
      <c r="J10" s="18"/>
      <c r="L10" s="6">
        <f>'Proventos (port)'!L11</f>
        <v>2026</v>
      </c>
      <c r="M10" s="6">
        <f>'Proventos (port)'!M11</f>
        <v>2025</v>
      </c>
      <c r="O10" s="10">
        <v>2023</v>
      </c>
      <c r="P10" s="86">
        <f>'Proventos (port)'!P10</f>
        <v>700000.25769999996</v>
      </c>
      <c r="Q10" s="11">
        <f>'Proventos (port)'!Q10</f>
        <v>0</v>
      </c>
      <c r="R10" s="86">
        <f>'Proventos (port)'!R10</f>
        <v>700000.25769999996</v>
      </c>
      <c r="S10" s="103">
        <f>'Proventos (port)'!S10</f>
        <v>1.0624039999999999</v>
      </c>
      <c r="T10" s="87">
        <f>'Proventos (port)'!T10</f>
        <v>0</v>
      </c>
      <c r="V10" s="10">
        <f t="shared" ref="V10:V27" si="0">V9-1</f>
        <v>2023</v>
      </c>
      <c r="W10" s="86">
        <f>'Proventos (port)'!W10</f>
        <v>1452233.48933</v>
      </c>
      <c r="X10" s="11">
        <f>'Proventos (port)'!X10</f>
        <v>0</v>
      </c>
      <c r="Y10" s="86">
        <f>'Proventos (port)'!Y10</f>
        <v>1452233.48933</v>
      </c>
      <c r="Z10" s="101">
        <f>'Proventos (port)'!Z10</f>
        <v>2.2040829999996481</v>
      </c>
      <c r="AA10" s="105">
        <f>'Proventos (port)'!AA10</f>
        <v>1942286</v>
      </c>
      <c r="AB10" s="107">
        <f>'Proventos (port)'!AB10</f>
        <v>0.74769291923537518</v>
      </c>
    </row>
    <row r="11" spans="1:36" ht="16" thickBot="1" x14ac:dyDescent="0.4">
      <c r="B11" s="82">
        <v>2025</v>
      </c>
      <c r="C11" s="96"/>
      <c r="D11" s="96"/>
      <c r="E11" s="84">
        <f>SUM(E12:E14)</f>
        <v>495255</v>
      </c>
      <c r="F11" s="85">
        <f>SUM(F12:F14)</f>
        <v>0.75165900000000008</v>
      </c>
      <c r="G11" s="84">
        <f>'Proventos (port)'!G12</f>
        <v>2447897.9639100065</v>
      </c>
      <c r="H11" s="8">
        <f>E11/G11</f>
        <v>0.20231848193906474</v>
      </c>
      <c r="I11" s="84">
        <f>'Proventos (port)'!I12</f>
        <v>1625761.8764800001</v>
      </c>
      <c r="J11" s="9">
        <f>E11/I11</f>
        <v>0.30462948305338278</v>
      </c>
      <c r="O11" s="20">
        <v>2022</v>
      </c>
      <c r="P11" s="79">
        <f>'Proventos (port)'!P11</f>
        <v>114577.17103</v>
      </c>
      <c r="Q11" s="21">
        <f>'Proventos (port)'!Q11</f>
        <v>0</v>
      </c>
      <c r="R11" s="79">
        <f>'Proventos (port)'!R11</f>
        <v>114577.17103</v>
      </c>
      <c r="S11" s="104">
        <f>'Proventos (port)'!S11</f>
        <v>0.173896</v>
      </c>
      <c r="T11" s="80">
        <f>'Proventos (port)'!T11</f>
        <v>0</v>
      </c>
      <c r="V11" s="20">
        <f t="shared" si="0"/>
        <v>2022</v>
      </c>
      <c r="W11" s="79">
        <f>'Proventos (port)'!W11</f>
        <v>700000.25769999996</v>
      </c>
      <c r="X11" s="21">
        <f>'Proventos (port)'!X11</f>
        <v>0</v>
      </c>
      <c r="Y11" s="79">
        <f>'Proventos (port)'!Y11</f>
        <v>700000.25769999996</v>
      </c>
      <c r="Z11" s="102">
        <f>'Proventos (port)'!Z11</f>
        <v>1.0624039999999999</v>
      </c>
      <c r="AA11" s="106">
        <f>'Proventos (port)'!AA11</f>
        <v>936887.00000000035</v>
      </c>
      <c r="AB11" s="108">
        <f>'Proventos (port)'!AB11</f>
        <v>0.74715548161090894</v>
      </c>
    </row>
    <row r="12" spans="1:36" x14ac:dyDescent="0.35">
      <c r="B12" s="15" t="s">
        <v>42</v>
      </c>
      <c r="C12" s="56">
        <v>46080</v>
      </c>
      <c r="D12" s="56">
        <v>46112</v>
      </c>
      <c r="E12" s="89">
        <v>165085</v>
      </c>
      <c r="F12" s="90">
        <v>0.25055300000000003</v>
      </c>
      <c r="G12" s="89"/>
      <c r="H12" s="17"/>
      <c r="I12" s="89"/>
      <c r="J12" s="18"/>
      <c r="L12" s="6">
        <f>'Proventos (port)'!L13</f>
        <v>2026</v>
      </c>
      <c r="M12" s="6">
        <f>'Proventos (port)'!M13</f>
        <v>2025</v>
      </c>
      <c r="O12" s="10">
        <v>2021</v>
      </c>
      <c r="P12" s="86">
        <f>'Proventos (port)'!P12</f>
        <v>950379.20763999992</v>
      </c>
      <c r="Q12" s="11">
        <f>'Proventos (port)'!Q12</f>
        <v>1851531.9258749678</v>
      </c>
      <c r="R12" s="86">
        <f>'Proventos (port)'!R12</f>
        <v>2801911.1335149677</v>
      </c>
      <c r="S12" s="103">
        <f>'Proventos (port)'!S12</f>
        <v>1.4424090000000001</v>
      </c>
      <c r="T12" s="87">
        <f>'Proventos (port)'!T12</f>
        <v>2.8101060000000002</v>
      </c>
      <c r="V12" s="10">
        <f t="shared" si="0"/>
        <v>2021</v>
      </c>
      <c r="W12" s="86">
        <f>'Proventos (port)'!W12</f>
        <v>629109.02636999998</v>
      </c>
      <c r="X12" s="11">
        <f>'Proventos (port)'!X12</f>
        <v>1211082.8589499998</v>
      </c>
      <c r="Y12" s="86">
        <f>'Proventos (port)'!Y12</f>
        <v>1840191.8853199999</v>
      </c>
      <c r="Z12" s="101">
        <f>'Proventos (port)'!Z12</f>
        <v>2.7928950000000001</v>
      </c>
      <c r="AA12" s="105">
        <f>'Proventos (port)'!AA12</f>
        <v>877567</v>
      </c>
      <c r="AB12" s="107">
        <f>'Proventos (port)'!AB12</f>
        <v>2.0969246625271913</v>
      </c>
    </row>
    <row r="13" spans="1:36" x14ac:dyDescent="0.35">
      <c r="B13" s="15" t="s">
        <v>42</v>
      </c>
      <c r="C13" s="56">
        <v>46052</v>
      </c>
      <c r="D13" s="56">
        <v>46078</v>
      </c>
      <c r="E13" s="89">
        <v>165085</v>
      </c>
      <c r="F13" s="90">
        <v>0.25055300000000003</v>
      </c>
      <c r="G13" s="89"/>
      <c r="H13" s="17"/>
      <c r="I13" s="89"/>
      <c r="J13" s="18"/>
      <c r="L13" s="6">
        <f>'Proventos (port)'!L14</f>
        <v>2026</v>
      </c>
      <c r="M13" s="6">
        <f>'Proventos (port)'!M14</f>
        <v>2025</v>
      </c>
      <c r="O13" s="20">
        <v>2020</v>
      </c>
      <c r="P13" s="79">
        <f>'Proventos (port)'!P13</f>
        <v>258178.36032000001</v>
      </c>
      <c r="Q13" s="21">
        <f>'Proventos (port)'!Q13</f>
        <v>444000</v>
      </c>
      <c r="R13" s="79">
        <f>'Proventos (port)'!R13</f>
        <v>702178.36031999998</v>
      </c>
      <c r="S13" s="104">
        <f>'Proventos (port)'!S13</f>
        <v>0.391843</v>
      </c>
      <c r="T13" s="80">
        <f>'Proventos (port)'!T13</f>
        <v>0.67386699999999999</v>
      </c>
      <c r="V13" s="20">
        <f t="shared" si="0"/>
        <v>2020</v>
      </c>
      <c r="W13" s="79">
        <f>'Proventos (port)'!W13</f>
        <v>586180.35230000003</v>
      </c>
      <c r="X13" s="21">
        <f>'Proventos (port)'!X13</f>
        <v>1084449.0669249683</v>
      </c>
      <c r="Y13" s="79">
        <f>'Proventos (port)'!Y13</f>
        <v>1670629.4192249682</v>
      </c>
      <c r="Z13" s="102">
        <f>'Proventos (port)'!Z13</f>
        <v>2.5355469999999998</v>
      </c>
      <c r="AA13" s="106">
        <f>'Proventos (port)'!AA13</f>
        <v>2002390</v>
      </c>
      <c r="AB13" s="108">
        <f>'Proventos (port)'!AB13</f>
        <v>0.83431769996103067</v>
      </c>
    </row>
    <row r="14" spans="1:36" ht="16" thickBot="1" x14ac:dyDescent="0.4">
      <c r="B14" s="15" t="s">
        <v>42</v>
      </c>
      <c r="C14" s="56">
        <v>46021</v>
      </c>
      <c r="D14" s="56">
        <v>46050</v>
      </c>
      <c r="E14" s="89">
        <v>165085</v>
      </c>
      <c r="F14" s="90">
        <v>0.25055300000000003</v>
      </c>
      <c r="G14" s="89"/>
      <c r="H14" s="17"/>
      <c r="I14" s="89"/>
      <c r="J14" s="18"/>
      <c r="L14" s="6">
        <f>'Proventos (port)'!L15</f>
        <v>2026</v>
      </c>
      <c r="M14" s="6">
        <f>'Proventos (port)'!M15</f>
        <v>2025</v>
      </c>
      <c r="O14" s="10">
        <v>2019</v>
      </c>
      <c r="P14" s="86">
        <f>'Proventos (port)'!P14</f>
        <v>593859.42848999996</v>
      </c>
      <c r="Q14" s="11">
        <f>'Proventos (port)'!Q14</f>
        <v>293555.57285</v>
      </c>
      <c r="R14" s="86">
        <f>'Proventos (port)'!R14</f>
        <v>887415.00133999996</v>
      </c>
      <c r="S14" s="103">
        <f>'Proventos (port)'!S14</f>
        <v>0.90131199999999989</v>
      </c>
      <c r="T14" s="87">
        <f>'Proventos (port)'!T14</f>
        <v>0.44553500000000001</v>
      </c>
      <c r="V14" s="10">
        <f t="shared" si="0"/>
        <v>2019</v>
      </c>
      <c r="W14" s="86">
        <f>'Proventos (port)'!W14</f>
        <v>701704.78881000006</v>
      </c>
      <c r="X14" s="11">
        <f>'Proventos (port)'!X14</f>
        <v>293555.57284999988</v>
      </c>
      <c r="Y14" s="86">
        <f>'Proventos (port)'!Y14</f>
        <v>995260.36165999994</v>
      </c>
      <c r="Z14" s="101">
        <f>'Proventos (port)'!Z14</f>
        <v>1.510526</v>
      </c>
      <c r="AA14" s="105">
        <f>'Proventos (port)'!AA14</f>
        <v>1221830</v>
      </c>
      <c r="AB14" s="107">
        <f>'Proventos (port)'!AB14</f>
        <v>0.81456533368799255</v>
      </c>
    </row>
    <row r="15" spans="1:36" ht="16" thickBot="1" x14ac:dyDescent="0.4">
      <c r="B15" s="82">
        <v>2025</v>
      </c>
      <c r="C15" s="96"/>
      <c r="D15" s="96"/>
      <c r="E15" s="84">
        <f>SUM(E16:E18)</f>
        <v>444744.25355999998</v>
      </c>
      <c r="F15" s="85">
        <f>SUM(F16:F18)</f>
        <v>0.67499700000000007</v>
      </c>
      <c r="G15" s="84">
        <f>'Proventos (port)'!G16</f>
        <v>2447897.9639100065</v>
      </c>
      <c r="H15" s="8">
        <f>E15/G15</f>
        <v>0.18168414701796384</v>
      </c>
      <c r="I15" s="84">
        <f>'Proventos (port)'!I16</f>
        <v>1625761.8764799973</v>
      </c>
      <c r="J15" s="9">
        <f>E15/I15</f>
        <v>0.27356051337784704</v>
      </c>
      <c r="O15" s="20">
        <v>2018</v>
      </c>
      <c r="P15" s="79">
        <f>'Proventos (port)'!P15</f>
        <v>592000.05981000001</v>
      </c>
      <c r="Q15" s="21">
        <f>'Proventos (port)'!Q15</f>
        <v>1478000.1092593162</v>
      </c>
      <c r="R15" s="79">
        <f>'Proventos (port)'!R15</f>
        <v>2070000.1690693162</v>
      </c>
      <c r="S15" s="104">
        <f>'Proventos (port)'!S15</f>
        <v>3.59396</v>
      </c>
      <c r="T15" s="80">
        <f>'Proventos (port)'!T15</f>
        <v>8.9727579999999989</v>
      </c>
      <c r="V15" s="20">
        <f t="shared" si="0"/>
        <v>2018</v>
      </c>
      <c r="W15" s="79">
        <f>'Proventos (port)'!W15</f>
        <v>592000.05981000001</v>
      </c>
      <c r="X15" s="21">
        <f>'Proventos (port)'!X15</f>
        <v>1393306.5904800002</v>
      </c>
      <c r="Y15" s="79">
        <f>'Proventos (port)'!Y15</f>
        <v>1985306.6502900003</v>
      </c>
      <c r="Z15" s="102">
        <f>'Proventos (port)'!Z15</f>
        <v>12.052554000000001</v>
      </c>
      <c r="AA15" s="106">
        <f>'Proventos (port)'!AA15</f>
        <v>1276311</v>
      </c>
      <c r="AB15" s="108">
        <f>'Proventos (port)'!AB15</f>
        <v>1.5555038311900471</v>
      </c>
    </row>
    <row r="16" spans="1:36" x14ac:dyDescent="0.35">
      <c r="B16" s="15" t="s">
        <v>42</v>
      </c>
      <c r="C16" s="56">
        <v>45961</v>
      </c>
      <c r="D16" s="56">
        <v>45989</v>
      </c>
      <c r="E16" s="89">
        <f>148248084.52/1000</f>
        <v>148248.08452</v>
      </c>
      <c r="F16" s="90">
        <v>0.224999</v>
      </c>
      <c r="G16" s="89"/>
      <c r="H16" s="17"/>
      <c r="I16" s="89"/>
      <c r="J16" s="18"/>
      <c r="L16" s="6">
        <f>'Proventos (port)'!L17</f>
        <v>2025</v>
      </c>
      <c r="M16" s="6">
        <f>'Proventos (port)'!M17</f>
        <v>2025</v>
      </c>
      <c r="O16" s="10">
        <v>2017</v>
      </c>
      <c r="P16" s="86">
        <f>'Proventos (port)'!P16</f>
        <v>0</v>
      </c>
      <c r="Q16" s="11">
        <f>'Proventos (port)'!Q16</f>
        <v>637900.17685804993</v>
      </c>
      <c r="R16" s="86">
        <f>'Proventos (port)'!R16</f>
        <v>637900.17685804993</v>
      </c>
      <c r="S16" s="103">
        <f>'Proventos (port)'!S16</f>
        <v>0</v>
      </c>
      <c r="T16" s="87">
        <f>'Proventos (port)'!T16</f>
        <v>3.872614</v>
      </c>
      <c r="V16" s="10">
        <f t="shared" si="0"/>
        <v>2017</v>
      </c>
      <c r="W16" s="86">
        <f>'Proventos (port)'!W16</f>
        <v>0</v>
      </c>
      <c r="X16" s="11">
        <f>'Proventos (port)'!X16</f>
        <v>585093.64501741016</v>
      </c>
      <c r="Y16" s="86">
        <f>'Proventos (port)'!Y16</f>
        <v>585093.64501741016</v>
      </c>
      <c r="Z16" s="101">
        <f>'Proventos (port)'!Z16</f>
        <v>3.5520320000000001</v>
      </c>
      <c r="AA16" s="105">
        <f>'Proventos (port)'!AA16</f>
        <v>615474</v>
      </c>
      <c r="AB16" s="107">
        <f>'Proventos (port)'!AB16</f>
        <v>0.95063909282505865</v>
      </c>
    </row>
    <row r="17" spans="1:29" x14ac:dyDescent="0.35">
      <c r="B17" s="15" t="s">
        <v>42</v>
      </c>
      <c r="C17" s="56">
        <v>45986</v>
      </c>
      <c r="D17" s="56">
        <v>46003</v>
      </c>
      <c r="E17" s="89">
        <f t="shared" ref="E17:E18" si="1">148248084.52/1000</f>
        <v>148248.08452</v>
      </c>
      <c r="F17" s="90">
        <v>0.224999</v>
      </c>
      <c r="G17" s="89"/>
      <c r="H17" s="17"/>
      <c r="I17" s="89"/>
      <c r="J17" s="18"/>
      <c r="L17" s="6">
        <f>'Proventos (port)'!L18</f>
        <v>2025</v>
      </c>
      <c r="M17" s="6">
        <f>'Proventos (port)'!M18</f>
        <v>2025</v>
      </c>
      <c r="O17" s="20">
        <v>2016</v>
      </c>
      <c r="P17" s="79">
        <f>'Proventos (port)'!P17</f>
        <v>0</v>
      </c>
      <c r="Q17" s="21">
        <f>'Proventos (port)'!Q17</f>
        <v>110000.07344012988</v>
      </c>
      <c r="R17" s="79">
        <f>'Proventos (port)'!R17</f>
        <v>110000.07344012988</v>
      </c>
      <c r="S17" s="104">
        <f>'Proventos (port)'!S17</f>
        <v>0</v>
      </c>
      <c r="T17" s="80">
        <f>'Proventos (port)'!T17</f>
        <v>0.66779699999999997</v>
      </c>
      <c r="V17" s="20">
        <f t="shared" si="0"/>
        <v>2016</v>
      </c>
      <c r="W17" s="79">
        <f>'Proventos (port)'!W17</f>
        <v>0</v>
      </c>
      <c r="X17" s="21">
        <f>'Proventos (port)'!X17</f>
        <v>247500.12406008574</v>
      </c>
      <c r="Y17" s="79">
        <f>'Proventos (port)'!Y17</f>
        <v>247500.12406008574</v>
      </c>
      <c r="Z17" s="102">
        <f>'Proventos (port)'!Z17</f>
        <v>1.502543</v>
      </c>
      <c r="AA17" s="106">
        <f>'Proventos (port)'!AA17</f>
        <v>228785</v>
      </c>
      <c r="AB17" s="108">
        <f>'Proventos (port)'!AB17</f>
        <v>1.0818022338006676</v>
      </c>
    </row>
    <row r="18" spans="1:29" ht="16" thickBot="1" x14ac:dyDescent="0.4">
      <c r="B18" s="15" t="s">
        <v>42</v>
      </c>
      <c r="C18" s="56">
        <v>46009</v>
      </c>
      <c r="D18" s="56">
        <v>46021</v>
      </c>
      <c r="E18" s="89">
        <f t="shared" si="1"/>
        <v>148248.08452</v>
      </c>
      <c r="F18" s="90">
        <v>0.224999</v>
      </c>
      <c r="G18" s="89"/>
      <c r="H18" s="17"/>
      <c r="I18" s="89"/>
      <c r="J18" s="18"/>
      <c r="L18" s="6">
        <f>'Proventos (port)'!L19</f>
        <v>2025</v>
      </c>
      <c r="M18" s="6">
        <f>'Proventos (port)'!M19</f>
        <v>2025</v>
      </c>
      <c r="O18" s="10">
        <v>2015</v>
      </c>
      <c r="P18" s="86">
        <f>'Proventos (port)'!P18</f>
        <v>0</v>
      </c>
      <c r="Q18" s="11">
        <f>'Proventos (port)'!Q18</f>
        <v>365894.15567999997</v>
      </c>
      <c r="R18" s="86">
        <f>'Proventos (port)'!R18</f>
        <v>365894.15567999997</v>
      </c>
      <c r="S18" s="103">
        <f>'Proventos (port)'!S18</f>
        <v>0</v>
      </c>
      <c r="T18" s="87">
        <f>'Proventos (port)'!T18</f>
        <v>2.2689779999999997</v>
      </c>
      <c r="V18" s="10">
        <f t="shared" si="0"/>
        <v>2015</v>
      </c>
      <c r="W18" s="86">
        <f>'Proventos (port)'!W18</f>
        <v>0</v>
      </c>
      <c r="X18" s="11">
        <f>'Proventos (port)'!X18</f>
        <v>334865.09512999997</v>
      </c>
      <c r="Y18" s="86">
        <f>'Proventos (port)'!Y18</f>
        <v>334865.09512999997</v>
      </c>
      <c r="Z18" s="101">
        <f>'Proventos (port)'!Z18</f>
        <v>2.0765609999999999</v>
      </c>
      <c r="AA18" s="105">
        <f>'Proventos (port)'!AA18</f>
        <v>271887</v>
      </c>
      <c r="AB18" s="107">
        <f>'Proventos (port)'!AB18</f>
        <v>1.231633344477669</v>
      </c>
    </row>
    <row r="19" spans="1:29" ht="16" thickBot="1" x14ac:dyDescent="0.4">
      <c r="B19" s="82">
        <v>2024</v>
      </c>
      <c r="C19" s="96"/>
      <c r="D19" s="96"/>
      <c r="E19" s="84">
        <f>SUM(E20:E22)</f>
        <v>1555514.7649999999</v>
      </c>
      <c r="F19" s="85">
        <f>SUM(F20:F22)</f>
        <v>2.3608350000017602</v>
      </c>
      <c r="G19" s="84">
        <f>'Proventos (port)'!G20</f>
        <v>3498416.3703099997</v>
      </c>
      <c r="H19" s="8">
        <f>E19/G19</f>
        <v>0.44463397158816848</v>
      </c>
      <c r="I19" s="84">
        <f>'Proventos (port)'!I20</f>
        <v>2076570.9974200181</v>
      </c>
      <c r="J19" s="9">
        <f>E19/I19</f>
        <v>0.74907853713290273</v>
      </c>
      <c r="K19" s="5"/>
      <c r="O19" s="20">
        <v>2014</v>
      </c>
      <c r="P19" s="79">
        <f>'Proventos (port)'!P19</f>
        <v>231689.82490897595</v>
      </c>
      <c r="Q19" s="21">
        <f>'Proventos (port)'!Q19</f>
        <v>195000.16409352483</v>
      </c>
      <c r="R19" s="79">
        <f>'Proventos (port)'!R19</f>
        <v>426689.98900250078</v>
      </c>
      <c r="S19" s="104">
        <f>'Proventos (port)'!S19</f>
        <v>1.506602</v>
      </c>
      <c r="T19" s="80">
        <f>'Proventos (port)'!T19</f>
        <v>1.2197100000000001</v>
      </c>
      <c r="V19" s="20">
        <f t="shared" si="0"/>
        <v>2014</v>
      </c>
      <c r="W19" s="79">
        <f>'Proventos (port)'!W19</f>
        <v>31689.740538975941</v>
      </c>
      <c r="X19" s="21">
        <f>'Proventos (port)'!X19</f>
        <v>196029.08986352486</v>
      </c>
      <c r="Y19" s="79">
        <f>'Proventos (port)'!Y19</f>
        <v>227718.83040250081</v>
      </c>
      <c r="Z19" s="102">
        <f>'Proventos (port)'!Z19</f>
        <v>1.4121270000000001</v>
      </c>
      <c r="AA19" s="106">
        <f>'Proventos (port)'!AA19</f>
        <v>248140</v>
      </c>
      <c r="AB19" s="108">
        <f>'Proventos (port)'!AB19</f>
        <v>0.91770303216934312</v>
      </c>
    </row>
    <row r="20" spans="1:29" x14ac:dyDescent="0.35">
      <c r="A20" s="14" t="str">
        <f>LEFT(B20,10)</f>
        <v>IOE</v>
      </c>
      <c r="B20" s="15" t="s">
        <v>42</v>
      </c>
      <c r="C20" s="56">
        <v>45667</v>
      </c>
      <c r="D20" s="56">
        <v>45678</v>
      </c>
      <c r="E20" s="89">
        <v>518504.92166666663</v>
      </c>
      <c r="F20" s="90">
        <v>0.78694500000058676</v>
      </c>
      <c r="G20" s="89"/>
      <c r="H20" s="17"/>
      <c r="I20" s="89"/>
      <c r="J20" s="18"/>
      <c r="K20" s="5"/>
      <c r="L20" s="19">
        <f>YEAR(D20)</f>
        <v>2025</v>
      </c>
      <c r="M20" s="6">
        <v>2024</v>
      </c>
      <c r="O20" s="10">
        <v>2013</v>
      </c>
      <c r="P20" s="86">
        <f>'Proventos (port)'!P20</f>
        <v>0</v>
      </c>
      <c r="Q20" s="11">
        <f>'Proventos (port)'!Q20</f>
        <v>0</v>
      </c>
      <c r="R20" s="86">
        <f>'Proventos (port)'!R20</f>
        <v>0</v>
      </c>
      <c r="S20" s="103">
        <f>'Proventos (port)'!S20</f>
        <v>0</v>
      </c>
      <c r="T20" s="87">
        <f>'Proventos (port)'!T20</f>
        <v>0</v>
      </c>
      <c r="V20" s="10">
        <f t="shared" si="0"/>
        <v>2013</v>
      </c>
      <c r="W20" s="86">
        <f>'Proventos (port)'!W20</f>
        <v>200000.08437</v>
      </c>
      <c r="X20" s="11">
        <f>'Proventos (port)'!X20</f>
        <v>30000.134779999993</v>
      </c>
      <c r="Y20" s="86">
        <f>'Proventos (port)'!Y20</f>
        <v>230000.21914999999</v>
      </c>
      <c r="Z20" s="101">
        <f>'Proventos (port)'!Z20</f>
        <v>1.506602</v>
      </c>
      <c r="AA20" s="105">
        <f>'Proventos (port)'!AA20</f>
        <v>-145400</v>
      </c>
      <c r="AB20" s="11" t="str">
        <f>'Proventos (port)'!AB20</f>
        <v>N/A</v>
      </c>
      <c r="AC20" s="25"/>
    </row>
    <row r="21" spans="1:29" x14ac:dyDescent="0.35">
      <c r="A21" s="14" t="str">
        <f>LEFT(B21,10)</f>
        <v>IOE</v>
      </c>
      <c r="B21" s="15" t="s">
        <v>42</v>
      </c>
      <c r="C21" s="56">
        <v>45700</v>
      </c>
      <c r="D21" s="56">
        <v>45709</v>
      </c>
      <c r="E21" s="89">
        <v>518504.92166666663</v>
      </c>
      <c r="F21" s="90">
        <v>0.78694500000058676</v>
      </c>
      <c r="G21" s="89"/>
      <c r="H21" s="17"/>
      <c r="I21" s="89"/>
      <c r="J21" s="18"/>
      <c r="K21" s="5"/>
      <c r="L21" s="19">
        <f>YEAR(D21)</f>
        <v>2025</v>
      </c>
      <c r="M21" s="6">
        <v>2024</v>
      </c>
      <c r="O21" s="20">
        <v>2012</v>
      </c>
      <c r="P21" s="79">
        <f>'Proventos (port)'!P21</f>
        <v>128108.0895128282</v>
      </c>
      <c r="Q21" s="21">
        <f>'Proventos (port)'!Q21</f>
        <v>348572.76195951999</v>
      </c>
      <c r="R21" s="79">
        <f>'Proventos (port)'!R21</f>
        <v>476680.85147234821</v>
      </c>
      <c r="S21" s="104">
        <f>'Proventos (port)'!S21</f>
        <v>0.83916400000000002</v>
      </c>
      <c r="T21" s="80">
        <f>'Proventos (port)'!T21</f>
        <v>2.2833040000000002</v>
      </c>
      <c r="V21" s="20">
        <f t="shared" si="0"/>
        <v>2012</v>
      </c>
      <c r="W21" s="79">
        <f>'Proventos (port)'!W21</f>
        <v>63949.929569099404</v>
      </c>
      <c r="X21" s="21">
        <f>'Proventos (port)'!X21</f>
        <v>178730.81712095172</v>
      </c>
      <c r="Y21" s="79">
        <f>'Proventos (port)'!Y21</f>
        <v>242680.74669005111</v>
      </c>
      <c r="Z21" s="102">
        <f>'Proventos (port)'!Z21</f>
        <v>1.5896650000000001</v>
      </c>
      <c r="AA21" s="106">
        <f>'Proventos (port)'!AA21</f>
        <v>1004000</v>
      </c>
      <c r="AB21" s="108">
        <f>'Proventos (port)'!AB21</f>
        <v>0.24171389112554892</v>
      </c>
      <c r="AC21" s="25"/>
    </row>
    <row r="22" spans="1:29" x14ac:dyDescent="0.35">
      <c r="A22" s="14" t="str">
        <f>LEFT(B22,10)</f>
        <v>IOE</v>
      </c>
      <c r="B22" s="15" t="s">
        <v>42</v>
      </c>
      <c r="C22" s="56">
        <v>45728</v>
      </c>
      <c r="D22" s="56">
        <v>45737</v>
      </c>
      <c r="E22" s="89">
        <v>518504.92166666663</v>
      </c>
      <c r="F22" s="90">
        <v>0.78694500000058676</v>
      </c>
      <c r="G22" s="89"/>
      <c r="H22" s="17"/>
      <c r="I22" s="89"/>
      <c r="J22" s="18"/>
      <c r="K22" s="5"/>
      <c r="L22" s="19">
        <f>YEAR(D22)</f>
        <v>2025</v>
      </c>
      <c r="M22" s="6">
        <v>2024</v>
      </c>
      <c r="O22" s="10">
        <v>2011</v>
      </c>
      <c r="P22" s="86">
        <f>'Proventos (port)'!P22</f>
        <v>253409.09627822755</v>
      </c>
      <c r="Q22" s="11">
        <f>'Proventos (port)'!Q22</f>
        <v>643390.94117201155</v>
      </c>
      <c r="R22" s="86">
        <f>'Proventos (port)'!R22</f>
        <v>896800.03745023906</v>
      </c>
      <c r="S22" s="103">
        <f>'Proventos (port)'!S22</f>
        <v>1.6690430000000001</v>
      </c>
      <c r="T22" s="87">
        <f>'Proventos (port)'!T22</f>
        <v>4.237603</v>
      </c>
      <c r="V22" s="10">
        <f t="shared" si="0"/>
        <v>2011</v>
      </c>
      <c r="W22" s="86">
        <f>'Proventos (port)'!W22</f>
        <v>188847.40611372879</v>
      </c>
      <c r="X22" s="11">
        <f>'Proventos (port)'!X22</f>
        <v>503138.44003945123</v>
      </c>
      <c r="Y22" s="86">
        <f>'Proventos (port)'!Y22</f>
        <v>691985.84615318</v>
      </c>
      <c r="Z22" s="101">
        <f>'Proventos (port)'!Z22</f>
        <v>4.5492609999999996</v>
      </c>
      <c r="AA22" s="105">
        <f>'Proventos (port)'!AA22</f>
        <v>805700</v>
      </c>
      <c r="AB22" s="107">
        <f>'Proventos (port)'!AB22</f>
        <v>0.85886290946156141</v>
      </c>
      <c r="AC22" s="25"/>
    </row>
    <row r="23" spans="1:29" ht="16" thickBot="1" x14ac:dyDescent="0.4">
      <c r="A23" s="14"/>
      <c r="B23" s="15"/>
      <c r="C23" s="56"/>
      <c r="D23" s="56"/>
      <c r="E23" s="89"/>
      <c r="F23" s="90"/>
      <c r="G23" s="89"/>
      <c r="H23" s="17"/>
      <c r="I23" s="89"/>
      <c r="J23" s="18"/>
      <c r="K23" s="5"/>
      <c r="O23" s="20">
        <v>2010</v>
      </c>
      <c r="P23" s="79">
        <f>'Proventos (port)'!P23</f>
        <v>188565.86358539597</v>
      </c>
      <c r="Q23" s="21">
        <f>'Proventos (port)'!Q23</f>
        <v>578234.25287254399</v>
      </c>
      <c r="R23" s="79">
        <f>'Proventos (port)'!R23</f>
        <v>766800.11645793996</v>
      </c>
      <c r="S23" s="104">
        <f>'Proventos (port)'!S23</f>
        <v>1.245136</v>
      </c>
      <c r="T23" s="80">
        <f>'Proventos (port)'!T23</f>
        <v>3.823372</v>
      </c>
      <c r="V23" s="20">
        <f t="shared" si="0"/>
        <v>2010</v>
      </c>
      <c r="W23" s="79">
        <f>'Proventos (port)'!W23</f>
        <v>255365.56452052799</v>
      </c>
      <c r="X23" s="21">
        <f>'Proventos (port)'!X23</f>
        <v>520046.14062267658</v>
      </c>
      <c r="Y23" s="79">
        <f>'Proventos (port)'!Y23</f>
        <v>775411.70514320454</v>
      </c>
      <c r="Z23" s="102">
        <f>'Proventos (port)'!Z23</f>
        <v>5.1071389999999992</v>
      </c>
      <c r="AA23" s="106">
        <f>'Proventos (port)'!AA23</f>
        <v>812171</v>
      </c>
      <c r="AB23" s="108">
        <f>'Proventos (port)'!AB23</f>
        <v>0.95473946390994568</v>
      </c>
      <c r="AC23" s="25"/>
    </row>
    <row r="24" spans="1:29" ht="16.5" thickBot="1" x14ac:dyDescent="0.45">
      <c r="A24" s="24"/>
      <c r="B24" s="82">
        <v>2023</v>
      </c>
      <c r="C24" s="83"/>
      <c r="D24" s="83"/>
      <c r="E24" s="84">
        <f>SUM(E25:E26)</f>
        <v>1452233.48933</v>
      </c>
      <c r="F24" s="85">
        <f>SUM(F25:F26)</f>
        <v>2.2040829999996481</v>
      </c>
      <c r="G24" s="84">
        <f>'Proventos (port)'!G25</f>
        <v>2841116.8365800008</v>
      </c>
      <c r="H24" s="8">
        <f>E24/G24</f>
        <v>0.51114880973291066</v>
      </c>
      <c r="I24" s="84">
        <v>1942286</v>
      </c>
      <c r="J24" s="9">
        <f>E24/I24</f>
        <v>0.74769291923537518</v>
      </c>
      <c r="N24" s="25"/>
      <c r="O24" s="10">
        <v>2009</v>
      </c>
      <c r="P24" s="86">
        <f>'Proventos (port)'!P24</f>
        <v>250610.21806138218</v>
      </c>
      <c r="Q24" s="11">
        <f>'Proventos (port)'!Q24</f>
        <v>392677.45157172135</v>
      </c>
      <c r="R24" s="86">
        <f>'Proventos (port)'!R24</f>
        <v>643287.66963310353</v>
      </c>
      <c r="S24" s="103">
        <f>'Proventos (port)'!S24</f>
        <v>1.6712090000000002</v>
      </c>
      <c r="T24" s="87">
        <f>'Proventos (port)'!T24</f>
        <v>2.6240790000000001</v>
      </c>
      <c r="V24" s="10">
        <f t="shared" si="0"/>
        <v>2009</v>
      </c>
      <c r="W24" s="86">
        <f>'Proventos (port)'!W24</f>
        <v>312530.36723447766</v>
      </c>
      <c r="X24" s="11">
        <f>'Proventos (port)'!X24</f>
        <v>532569.28258487326</v>
      </c>
      <c r="Y24" s="86">
        <f>'Proventos (port)'!Y24</f>
        <v>845099.64981935092</v>
      </c>
      <c r="Z24" s="101">
        <f>'Proventos (port)'!Z24</f>
        <v>5.6169479999999989</v>
      </c>
      <c r="AA24" s="105">
        <f>'Proventos (port)'!AA24</f>
        <v>861975</v>
      </c>
      <c r="AB24" s="107">
        <f>'Proventos (port)'!AB24</f>
        <v>0.98042245983856946</v>
      </c>
      <c r="AC24" s="25"/>
    </row>
    <row r="25" spans="1:29" x14ac:dyDescent="0.35">
      <c r="A25" s="14" t="str">
        <f>LEFT(B25,9)</f>
        <v>IOE</v>
      </c>
      <c r="B25" s="15" t="s">
        <v>42</v>
      </c>
      <c r="C25" s="56">
        <f>'Proventos (port)'!C26</f>
        <v>45273</v>
      </c>
      <c r="D25" s="56">
        <f>'Proventos (port)'!D26</f>
        <v>45306</v>
      </c>
      <c r="E25" s="89">
        <f>'Proventos (port)'!E26</f>
        <v>159999.92713</v>
      </c>
      <c r="F25" s="90">
        <f>'Proventos (port)'!F26</f>
        <v>0.24283500000479599</v>
      </c>
      <c r="G25" s="89"/>
      <c r="H25" s="17"/>
      <c r="I25" s="89"/>
      <c r="J25" s="18"/>
      <c r="L25" s="19">
        <f>YEAR(D25)</f>
        <v>2024</v>
      </c>
      <c r="M25" s="6">
        <v>2023</v>
      </c>
      <c r="N25" s="25"/>
      <c r="O25" s="20">
        <v>2008</v>
      </c>
      <c r="P25" s="79">
        <f>'Proventos (port)'!P25</f>
        <v>279020.74683174083</v>
      </c>
      <c r="Q25" s="21">
        <f>'Proventos (port)'!Q25</f>
        <v>436612.150475526</v>
      </c>
      <c r="R25" s="79">
        <f>'Proventos (port)'!R25</f>
        <v>715632.89730726683</v>
      </c>
      <c r="S25" s="104">
        <f>'Proventos (port)'!S25</f>
        <v>1.8690470000000001</v>
      </c>
      <c r="T25" s="80">
        <f>'Proventos (port)'!T25</f>
        <v>2.9246880000000002</v>
      </c>
      <c r="V25" s="20">
        <f t="shared" si="0"/>
        <v>2008</v>
      </c>
      <c r="W25" s="79">
        <f>'Proventos (port)'!W25</f>
        <v>239898.21484661315</v>
      </c>
      <c r="X25" s="21">
        <f>'Proventos (port)'!X25</f>
        <v>495002.75264445657</v>
      </c>
      <c r="Y25" s="79">
        <f>'Proventos (port)'!Y25</f>
        <v>734900.96749106969</v>
      </c>
      <c r="Z25" s="102">
        <f>'Proventos (port)'!Z25</f>
        <v>4.9228040000000002</v>
      </c>
      <c r="AA25" s="106">
        <f>'Proventos (port)'!AA25</f>
        <v>827065</v>
      </c>
      <c r="AB25" s="108">
        <f>'Proventos (port)'!AB25</f>
        <v>0.88856494651698437</v>
      </c>
      <c r="AC25" s="25"/>
    </row>
    <row r="26" spans="1:29" x14ac:dyDescent="0.35">
      <c r="A26" s="14" t="str">
        <f>LEFT(B26,9)</f>
        <v>IOE</v>
      </c>
      <c r="B26" s="15" t="s">
        <v>42</v>
      </c>
      <c r="C26" s="56">
        <f>'Proventos (port)'!C27</f>
        <v>45273</v>
      </c>
      <c r="D26" s="56">
        <f>'Proventos (port)'!D27</f>
        <v>45392</v>
      </c>
      <c r="E26" s="89">
        <f>'Proventos (port)'!E27</f>
        <v>1292233.5622</v>
      </c>
      <c r="F26" s="90">
        <f>'Proventos (port)'!F27</f>
        <v>1.961247999994852</v>
      </c>
      <c r="G26" s="89"/>
      <c r="H26" s="17"/>
      <c r="I26" s="89"/>
      <c r="J26" s="18"/>
      <c r="L26" s="19">
        <f>YEAR(D26)</f>
        <v>2024</v>
      </c>
      <c r="M26" s="6">
        <v>2023</v>
      </c>
      <c r="N26" s="25"/>
      <c r="O26" s="10">
        <v>2007</v>
      </c>
      <c r="P26" s="86">
        <f>'Proventos (port)'!P26</f>
        <v>226791.88448287919</v>
      </c>
      <c r="Q26" s="11">
        <f>'Proventos (port)'!Q26</f>
        <v>559356.99339199637</v>
      </c>
      <c r="R26" s="86">
        <f>'Proventos (port)'!R26</f>
        <v>786148.87787487556</v>
      </c>
      <c r="S26" s="103">
        <f>'Proventos (port)'!S26</f>
        <v>1.5191870000000001</v>
      </c>
      <c r="T26" s="87">
        <f>'Proventos (port)'!T26</f>
        <v>3.7469060000000001</v>
      </c>
      <c r="V26" s="10">
        <f t="shared" si="0"/>
        <v>2007</v>
      </c>
      <c r="W26" s="86">
        <f>'Proventos (port)'!W26</f>
        <v>238737.37441436955</v>
      </c>
      <c r="X26" s="11">
        <f>'Proventos (port)'!X26</f>
        <v>668758.59059417085</v>
      </c>
      <c r="Y26" s="86">
        <f>'Proventos (port)'!Y26</f>
        <v>907495.96500854043</v>
      </c>
      <c r="Z26" s="101">
        <f>'Proventos (port)'!Z26</f>
        <v>6.0789480000000005</v>
      </c>
      <c r="AA26" s="105">
        <f>'Proventos (port)'!AA26</f>
        <v>855483</v>
      </c>
      <c r="AB26" s="107">
        <f>'Proventos (port)'!AB26</f>
        <v>1.0607995308013607</v>
      </c>
      <c r="AC26" s="25"/>
    </row>
    <row r="27" spans="1:29" ht="16" thickBot="1" x14ac:dyDescent="0.4">
      <c r="A27" s="14"/>
      <c r="B27" s="15"/>
      <c r="C27" s="56"/>
      <c r="D27" s="56"/>
      <c r="E27" s="89"/>
      <c r="F27" s="90"/>
      <c r="G27" s="89"/>
      <c r="H27" s="17"/>
      <c r="I27" s="89"/>
      <c r="J27" s="18"/>
      <c r="N27" s="25"/>
      <c r="O27" s="20">
        <v>2006</v>
      </c>
      <c r="P27" s="79">
        <f>'Proventos (port)'!P27</f>
        <v>89999.91691203705</v>
      </c>
      <c r="Q27" s="21">
        <f>'Proventos (port)'!Q27</f>
        <v>97299.955124062821</v>
      </c>
      <c r="R27" s="79">
        <f>'Proventos (port)'!R27</f>
        <v>187299.87203609987</v>
      </c>
      <c r="S27" s="104">
        <f>'Proventos (port)'!S27</f>
        <v>0.60287299999999999</v>
      </c>
      <c r="T27" s="80">
        <f>'Proventos (port)'!T27</f>
        <v>0.65177300000000005</v>
      </c>
      <c r="V27" s="20">
        <f t="shared" si="0"/>
        <v>2006</v>
      </c>
      <c r="W27" s="79">
        <f>'Proventos (port)'!W27</f>
        <v>27177.042053637368</v>
      </c>
      <c r="X27" s="21">
        <f>'Proventos (port)'!X27</f>
        <v>157898.4829608023</v>
      </c>
      <c r="Y27" s="79">
        <f>'Proventos (port)'!Y27</f>
        <v>185075.52501443966</v>
      </c>
      <c r="Z27" s="102">
        <f>'Proventos (port)'!Z27</f>
        <v>1.239746</v>
      </c>
      <c r="AA27" s="106">
        <f>'Proventos (port)'!AA27</f>
        <v>117752</v>
      </c>
      <c r="AB27" s="108">
        <f>'Proventos (port)'!AB27</f>
        <v>1.5717399705689896</v>
      </c>
      <c r="AC27" s="25"/>
    </row>
    <row r="28" spans="1:29" ht="16" thickBot="1" x14ac:dyDescent="0.4">
      <c r="A28" s="14"/>
      <c r="B28" s="82">
        <v>2022</v>
      </c>
      <c r="C28" s="83"/>
      <c r="D28" s="83"/>
      <c r="E28" s="84">
        <f>SUM(E29:E30)</f>
        <v>700000.25769999996</v>
      </c>
      <c r="F28" s="85">
        <f>SUM(F29:F30)</f>
        <v>1.0624039999999999</v>
      </c>
      <c r="G28" s="84">
        <f>'Proventos (port)'!G29</f>
        <v>2262244.9482499068</v>
      </c>
      <c r="H28" s="8">
        <f>'Proventos (port)'!H29</f>
        <v>0.30942726084614602</v>
      </c>
      <c r="I28" s="84">
        <f>'Proventos (port)'!I29</f>
        <v>936887.00000000035</v>
      </c>
      <c r="J28" s="9">
        <f>'Proventos (port)'!J29</f>
        <v>0.74715548161090894</v>
      </c>
      <c r="K28" s="25"/>
      <c r="L28" s="19"/>
      <c r="M28" s="19"/>
      <c r="N28" s="25"/>
      <c r="O28" s="10">
        <v>2005</v>
      </c>
      <c r="P28" s="86">
        <f>'Proventos (port)'!P28</f>
        <v>224353.85086210462</v>
      </c>
      <c r="Q28" s="11">
        <f>'Proventos (port)'!Q28</f>
        <v>0</v>
      </c>
      <c r="R28" s="86">
        <f>'Proventos (port)'!R28</f>
        <v>224353.85086210462</v>
      </c>
      <c r="S28" s="103">
        <f>'Proventos (port)'!S28</f>
        <v>1.5028556000000002</v>
      </c>
      <c r="T28" s="87">
        <f>'Proventos (port)'!T28</f>
        <v>0</v>
      </c>
      <c r="V28" s="10">
        <f t="shared" ref="V28:V31" si="2">V27-1</f>
        <v>2005</v>
      </c>
      <c r="W28" s="86">
        <f>'Proventos (port)'!W28</f>
        <v>239353.77232392895</v>
      </c>
      <c r="X28" s="11">
        <f>'Proventos (port)'!X28</f>
        <v>0</v>
      </c>
      <c r="Y28" s="86">
        <f>'Proventos (port)'!Y28</f>
        <v>239353.77232392895</v>
      </c>
      <c r="Z28" s="101">
        <f>'Proventos (port)'!Z28</f>
        <v>1.603334</v>
      </c>
      <c r="AA28" s="105">
        <f>'Proventos (port)'!AA28</f>
        <v>468277</v>
      </c>
      <c r="AB28" s="107">
        <f>'Proventos (port)'!AB28</f>
        <v>0.51113715242031732</v>
      </c>
      <c r="AC28" s="25"/>
    </row>
    <row r="29" spans="1:29" x14ac:dyDescent="0.35">
      <c r="A29" s="14" t="str">
        <f>LEFT(B29,9)</f>
        <v>IOE</v>
      </c>
      <c r="B29" s="15" t="s">
        <v>42</v>
      </c>
      <c r="C29" s="56">
        <f>'Proventos (port)'!C30</f>
        <v>44922</v>
      </c>
      <c r="D29" s="56">
        <f>'Proventos (port)'!D30</f>
        <v>45027</v>
      </c>
      <c r="E29" s="89">
        <f>'Proventos (port)'!E30</f>
        <v>700000.25769999996</v>
      </c>
      <c r="F29" s="90">
        <f>'Proventos (port)'!F30</f>
        <v>1.0624039999999999</v>
      </c>
      <c r="G29" s="89"/>
      <c r="H29" s="17"/>
      <c r="I29" s="89"/>
      <c r="J29" s="18"/>
      <c r="K29" s="25"/>
      <c r="L29" s="19">
        <f>YEAR(D29)</f>
        <v>2023</v>
      </c>
      <c r="M29" s="19">
        <v>2022</v>
      </c>
      <c r="O29" s="20">
        <v>2004</v>
      </c>
      <c r="P29" s="79">
        <f>'Proventos (port)'!P29</f>
        <v>147248.99613225434</v>
      </c>
      <c r="Q29" s="21">
        <f>'Proventos (port)'!Q29</f>
        <v>0</v>
      </c>
      <c r="R29" s="79">
        <f>'Proventos (port)'!R29</f>
        <v>147248.99613225434</v>
      </c>
      <c r="S29" s="104">
        <f>'Proventos (port)'!S29</f>
        <v>0.98636140000000005</v>
      </c>
      <c r="T29" s="80">
        <f>'Proventos (port)'!T29</f>
        <v>0</v>
      </c>
      <c r="V29" s="20">
        <f t="shared" si="2"/>
        <v>2004</v>
      </c>
      <c r="W29" s="79">
        <f>'Proventos (port)'!W29</f>
        <v>74999.995450212722</v>
      </c>
      <c r="X29" s="21">
        <f>'Proventos (port)'!X29</f>
        <v>0</v>
      </c>
      <c r="Y29" s="79">
        <f>'Proventos (port)'!Y29</f>
        <v>74999.995450212722</v>
      </c>
      <c r="Z29" s="102">
        <f>'Proventos (port)'!Z29</f>
        <v>0.50239460000000002</v>
      </c>
      <c r="AA29" s="106">
        <f>'Proventos (port)'!AA29</f>
        <v>348778</v>
      </c>
      <c r="AB29" s="108">
        <f>'Proventos (port)'!AB29</f>
        <v>0.21503648581680243</v>
      </c>
    </row>
    <row r="30" spans="1:29" ht="16" thickBot="1" x14ac:dyDescent="0.4">
      <c r="A30" s="14"/>
      <c r="B30" s="15"/>
      <c r="C30" s="56"/>
      <c r="D30" s="56"/>
      <c r="E30" s="89"/>
      <c r="F30" s="90"/>
      <c r="G30" s="89"/>
      <c r="H30" s="17"/>
      <c r="I30" s="89"/>
      <c r="J30" s="18"/>
      <c r="K30" s="25"/>
      <c r="L30" s="19"/>
      <c r="M30" s="19"/>
      <c r="O30" s="10">
        <v>2003</v>
      </c>
      <c r="P30" s="86">
        <f>'Proventos (port)'!P30</f>
        <v>49999.88749111614</v>
      </c>
      <c r="Q30" s="11">
        <f>'Proventos (port)'!Q30</f>
        <v>12782.068339187106</v>
      </c>
      <c r="R30" s="86">
        <f>'Proventos (port)'!R30</f>
        <v>62781.955830303246</v>
      </c>
      <c r="S30" s="103">
        <f>'Proventos (port)'!S30</f>
        <v>0.33492899999999998</v>
      </c>
      <c r="T30" s="87">
        <f>'Proventos (port)'!T30</f>
        <v>8.5621900000000001E-2</v>
      </c>
      <c r="V30" s="10">
        <f t="shared" si="2"/>
        <v>2003</v>
      </c>
      <c r="W30" s="86">
        <f>'Proventos (port)'!W30</f>
        <v>147248.99613225434</v>
      </c>
      <c r="X30" s="11">
        <f>'Proventos (port)'!X30</f>
        <v>0</v>
      </c>
      <c r="Y30" s="86">
        <f>'Proventos (port)'!Y30</f>
        <v>147248.99613225434</v>
      </c>
      <c r="Z30" s="101">
        <f>'Proventos (port)'!Z30</f>
        <v>0.98636140000000005</v>
      </c>
      <c r="AA30" s="105">
        <f>'Proventos (port)'!AA30</f>
        <v>222376</v>
      </c>
      <c r="AB30" s="107">
        <f>'Proventos (port)'!AB30</f>
        <v>0.66216226630686015</v>
      </c>
    </row>
    <row r="31" spans="1:29" ht="16" thickBot="1" x14ac:dyDescent="0.4">
      <c r="A31" s="14"/>
      <c r="B31" s="82">
        <v>2021</v>
      </c>
      <c r="C31" s="83"/>
      <c r="D31" s="83"/>
      <c r="E31" s="84">
        <f>SUM(E32:E36)</f>
        <v>1840191.8853199999</v>
      </c>
      <c r="F31" s="85">
        <f>SUM(F32:F36)</f>
        <v>2.7928950000000001</v>
      </c>
      <c r="G31" s="84">
        <v>3018599.1695399997</v>
      </c>
      <c r="H31" s="8">
        <f>E31/G31</f>
        <v>0.60961783329464847</v>
      </c>
      <c r="I31" s="84">
        <v>877567</v>
      </c>
      <c r="J31" s="9">
        <f>E31/I31</f>
        <v>2.0969246625271913</v>
      </c>
      <c r="K31" s="25"/>
      <c r="L31" s="19"/>
      <c r="M31" s="19"/>
      <c r="O31" s="20">
        <v>2002</v>
      </c>
      <c r="P31" s="79">
        <f>'Proventos (port)'!P31</f>
        <v>86352.883506724407</v>
      </c>
      <c r="Q31" s="21">
        <f>'Proventos (port)'!Q31</f>
        <v>0</v>
      </c>
      <c r="R31" s="79">
        <f>'Proventos (port)'!R31</f>
        <v>86352.883506724407</v>
      </c>
      <c r="S31" s="104">
        <f>'Proventos (port)'!S31</f>
        <v>0.57844300000000004</v>
      </c>
      <c r="T31" s="80">
        <f>'Proventos (port)'!T31</f>
        <v>0</v>
      </c>
      <c r="V31" s="20">
        <f t="shared" si="2"/>
        <v>2002</v>
      </c>
      <c r="W31" s="79">
        <f>'Proventos (port)'!W31</f>
        <v>136352.77099784056</v>
      </c>
      <c r="X31" s="21">
        <f>'Proventos (port)'!X31</f>
        <v>12782.06833918707</v>
      </c>
      <c r="Y31" s="79">
        <f>'Proventos (port)'!Y31</f>
        <v>149134.83933702763</v>
      </c>
      <c r="Z31" s="102">
        <f>'Proventos (port)'!Z31</f>
        <v>0.99899389999999988</v>
      </c>
      <c r="AA31" s="106">
        <f>'Proventos (port)'!AA31</f>
        <v>168137</v>
      </c>
      <c r="AB31" s="108">
        <f>'Proventos (port)'!AB31</f>
        <v>0.88698406262171703</v>
      </c>
    </row>
    <row r="32" spans="1:29" s="25" customFormat="1" x14ac:dyDescent="0.35">
      <c r="A32" s="14" t="str">
        <f t="shared" ref="A32:A95" si="3">LEFT(B32,9)</f>
        <v>IOE</v>
      </c>
      <c r="B32" s="15" t="s">
        <v>42</v>
      </c>
      <c r="C32" s="56">
        <f>'Proventos (port)'!C33</f>
        <v>44553</v>
      </c>
      <c r="D32" s="56">
        <f>'Proventos (port)'!D33</f>
        <v>44579</v>
      </c>
      <c r="E32" s="89">
        <f>'Proventos (port)'!E33</f>
        <v>114577.17103</v>
      </c>
      <c r="F32" s="90">
        <f>'Proventos (port)'!F33</f>
        <v>0.173896</v>
      </c>
      <c r="G32" s="89"/>
      <c r="H32" s="17"/>
      <c r="I32" s="89"/>
      <c r="J32" s="18"/>
      <c r="L32" s="19">
        <v>2022</v>
      </c>
      <c r="M32" s="19">
        <v>2021</v>
      </c>
      <c r="O32" s="27" t="s">
        <v>23</v>
      </c>
      <c r="P32" s="28">
        <f>SUM(P7:P31)</f>
        <v>9312893.251445666</v>
      </c>
      <c r="Q32" s="28">
        <f>SUM(Q7:Q31)</f>
        <v>8724131.1286725607</v>
      </c>
      <c r="R32" s="28">
        <f>SUM(R7:R31)</f>
        <v>18037024.380118225</v>
      </c>
      <c r="S32" s="110">
        <f>SUM(S7:S31)</f>
        <v>27.882248000001404</v>
      </c>
      <c r="T32" s="111">
        <f>SUM(T7:T31)</f>
        <v>41.732644900000004</v>
      </c>
      <c r="U32" s="7"/>
      <c r="V32" s="29" t="s">
        <v>23</v>
      </c>
      <c r="W32" s="30">
        <f>SUM(W7:W31)</f>
        <v>9312893.2514456678</v>
      </c>
      <c r="X32" s="30">
        <f t="shared" ref="X32" si="4">SUM(X7:X31)</f>
        <v>8724131.1286725588</v>
      </c>
      <c r="Y32" s="30">
        <f>SUM(Y7:Y31)</f>
        <v>18037024.380118228</v>
      </c>
      <c r="Z32" s="109">
        <f>SUM(Z7:Z31)</f>
        <v>69.614892900001408</v>
      </c>
      <c r="AA32" s="111">
        <f>SUM(AA7:AA31)</f>
        <v>19670203.873900019</v>
      </c>
      <c r="AB32" s="31">
        <f>IFERROR(IF(Y32/AA32&lt;0,"N/A",Y32/AA32),"N/A")</f>
        <v>0.91697190815857166</v>
      </c>
      <c r="AC32" s="7"/>
    </row>
    <row r="33" spans="1:28" s="25" customFormat="1" x14ac:dyDescent="0.35">
      <c r="A33" s="14" t="str">
        <f t="shared" si="3"/>
        <v>Dividends</v>
      </c>
      <c r="B33" s="15" t="s">
        <v>43</v>
      </c>
      <c r="C33" s="56">
        <f>'Proventos (port)'!C34</f>
        <v>44503</v>
      </c>
      <c r="D33" s="56">
        <f>'Proventos (port)'!D34</f>
        <v>44516</v>
      </c>
      <c r="E33" s="89">
        <f>'Proventos (port)'!E34</f>
        <v>348803.59677</v>
      </c>
      <c r="F33" s="90">
        <f>'Proventos (port)'!F34</f>
        <v>0.52938600000000002</v>
      </c>
      <c r="G33" s="89"/>
      <c r="H33" s="17"/>
      <c r="I33" s="89"/>
      <c r="J33" s="18"/>
      <c r="L33" s="19">
        <v>2021</v>
      </c>
      <c r="M33" s="19">
        <v>2021</v>
      </c>
      <c r="U33" s="7"/>
    </row>
    <row r="34" spans="1:28" s="25" customFormat="1" x14ac:dyDescent="0.35">
      <c r="A34" s="14" t="str">
        <f t="shared" si="3"/>
        <v>IOE</v>
      </c>
      <c r="B34" s="15" t="s">
        <v>42</v>
      </c>
      <c r="C34" s="56">
        <f>'Proventos (port)'!C35</f>
        <v>44504</v>
      </c>
      <c r="D34" s="56">
        <f>'Proventos (port)'!D35</f>
        <v>44517</v>
      </c>
      <c r="E34" s="89">
        <f>'Proventos (port)'!E35</f>
        <v>514531.85533999995</v>
      </c>
      <c r="F34" s="90">
        <f>'Proventos (port)'!F35</f>
        <v>0.78091500000000003</v>
      </c>
      <c r="G34" s="89"/>
      <c r="H34" s="17"/>
      <c r="I34" s="89"/>
      <c r="J34" s="18"/>
      <c r="L34" s="19">
        <v>2021</v>
      </c>
      <c r="M34" s="19">
        <v>2021</v>
      </c>
      <c r="U34" s="7"/>
    </row>
    <row r="35" spans="1:28" s="25" customFormat="1" x14ac:dyDescent="0.35">
      <c r="A35" s="14" t="str">
        <f t="shared" si="3"/>
        <v>Dividends</v>
      </c>
      <c r="B35" s="15" t="s">
        <v>43</v>
      </c>
      <c r="C35" s="56">
        <f>'Proventos (port)'!C36</f>
        <v>44384</v>
      </c>
      <c r="D35" s="56">
        <f>'Proventos (port)'!D36</f>
        <v>44392</v>
      </c>
      <c r="E35" s="89">
        <f>'Proventos (port)'!E36</f>
        <v>331116.53336</v>
      </c>
      <c r="F35" s="90">
        <f>'Proventos (port)'!F36</f>
        <v>0.50254200000000004</v>
      </c>
      <c r="G35" s="89"/>
      <c r="H35" s="17"/>
      <c r="I35" s="89"/>
      <c r="J35" s="18"/>
      <c r="K35" s="7"/>
      <c r="L35" s="19">
        <v>2021</v>
      </c>
      <c r="M35" s="19">
        <v>2021</v>
      </c>
      <c r="U35" s="7"/>
    </row>
    <row r="36" spans="1:28" s="25" customFormat="1" x14ac:dyDescent="0.35">
      <c r="A36" s="14" t="str">
        <f t="shared" si="3"/>
        <v>Dividends</v>
      </c>
      <c r="B36" s="15" t="s">
        <v>44</v>
      </c>
      <c r="C36" s="56">
        <f>'Proventos (port)'!C37</f>
        <v>44253</v>
      </c>
      <c r="D36" s="56">
        <f>'Proventos (port)'!D37</f>
        <v>44337</v>
      </c>
      <c r="E36" s="89">
        <f>'Proventos (port)'!E37</f>
        <v>531162.72881999996</v>
      </c>
      <c r="F36" s="90">
        <f>'Proventos (port)'!F37</f>
        <v>0.80615599999999998</v>
      </c>
      <c r="G36" s="89"/>
      <c r="H36" s="17"/>
      <c r="I36" s="89"/>
      <c r="J36" s="18"/>
      <c r="K36" s="7"/>
      <c r="L36" s="19">
        <v>2021</v>
      </c>
      <c r="M36" s="19">
        <v>2021</v>
      </c>
      <c r="U36" s="7"/>
    </row>
    <row r="37" spans="1:28" s="25" customFormat="1" ht="16" thickBot="1" x14ac:dyDescent="0.4">
      <c r="A37" s="14"/>
      <c r="B37" s="15"/>
      <c r="C37" s="56"/>
      <c r="D37" s="56"/>
      <c r="E37" s="89"/>
      <c r="F37" s="90"/>
      <c r="G37" s="89"/>
      <c r="H37" s="17"/>
      <c r="I37" s="89"/>
      <c r="J37" s="18"/>
      <c r="K37" s="7"/>
      <c r="L37" s="19"/>
      <c r="M37" s="19"/>
    </row>
    <row r="38" spans="1:28" s="25" customFormat="1" ht="16" thickBot="1" x14ac:dyDescent="0.4">
      <c r="A38" s="14" t="str">
        <f t="shared" si="3"/>
        <v>2020</v>
      </c>
      <c r="B38" s="82">
        <v>2020</v>
      </c>
      <c r="C38" s="83"/>
      <c r="D38" s="83"/>
      <c r="E38" s="84">
        <f>SUM(E39:E44)</f>
        <v>1670629.4192249682</v>
      </c>
      <c r="F38" s="85">
        <f>SUM(F39:F44)</f>
        <v>2.5355469999999998</v>
      </c>
      <c r="G38" s="84">
        <v>3361503</v>
      </c>
      <c r="H38" s="8">
        <f>E38/G38</f>
        <v>0.49698882292384333</v>
      </c>
      <c r="I38" s="84">
        <v>2002390</v>
      </c>
      <c r="J38" s="9">
        <f>E38/I38</f>
        <v>0.83431769996103067</v>
      </c>
      <c r="L38" s="19"/>
      <c r="M38" s="19"/>
    </row>
    <row r="39" spans="1:28" s="25" customFormat="1" x14ac:dyDescent="0.35">
      <c r="A39" s="14" t="str">
        <f t="shared" si="3"/>
        <v>Dividends</v>
      </c>
      <c r="B39" s="15" t="s">
        <v>45</v>
      </c>
      <c r="C39" s="56">
        <f>'Proventos (port)'!C40</f>
        <v>44286</v>
      </c>
      <c r="D39" s="56">
        <f>'Proventos (port)'!D40</f>
        <v>44337</v>
      </c>
      <c r="E39" s="89">
        <f>'Proventos (port)'!E40</f>
        <v>524449.36683496798</v>
      </c>
      <c r="F39" s="90">
        <f>'Proventos (port)'!F40</f>
        <v>0.79596699999999998</v>
      </c>
      <c r="G39" s="89"/>
      <c r="H39" s="17"/>
      <c r="I39" s="89"/>
      <c r="J39" s="18"/>
      <c r="L39" s="19">
        <v>2021</v>
      </c>
      <c r="M39" s="19">
        <v>2020</v>
      </c>
    </row>
    <row r="40" spans="1:28" s="25" customFormat="1" x14ac:dyDescent="0.35">
      <c r="A40" s="14" t="str">
        <f t="shared" si="3"/>
        <v>Dividends</v>
      </c>
      <c r="B40" s="15" t="s">
        <v>43</v>
      </c>
      <c r="C40" s="56">
        <f>'Proventos (port)'!C41</f>
        <v>44182</v>
      </c>
      <c r="D40" s="56">
        <f>'Proventos (port)'!D41</f>
        <v>44214</v>
      </c>
      <c r="E40" s="89">
        <f>'Proventos (port)'!E41</f>
        <v>115999.70009</v>
      </c>
      <c r="F40" s="90">
        <f>'Proventos (port)'!F41</f>
        <v>0.17605499999999999</v>
      </c>
      <c r="G40" s="89"/>
      <c r="H40" s="17"/>
      <c r="I40" s="89"/>
      <c r="J40" s="18"/>
      <c r="L40" s="19">
        <v>2021</v>
      </c>
      <c r="M40" s="19">
        <v>2020</v>
      </c>
    </row>
    <row r="41" spans="1:28" x14ac:dyDescent="0.35">
      <c r="A41" s="14" t="str">
        <f t="shared" si="3"/>
        <v>IOE</v>
      </c>
      <c r="B41" s="15" t="s">
        <v>42</v>
      </c>
      <c r="C41" s="56">
        <f>'Proventos (port)'!C42</f>
        <v>44182</v>
      </c>
      <c r="D41" s="56">
        <f>'Proventos (port)'!D42</f>
        <v>44214</v>
      </c>
      <c r="E41" s="89">
        <f>'Proventos (port)'!E42</f>
        <v>435847.35230000003</v>
      </c>
      <c r="F41" s="90">
        <f>'Proventos (port)'!F42</f>
        <v>0.66149400000000003</v>
      </c>
      <c r="G41" s="89"/>
      <c r="H41" s="17"/>
      <c r="I41" s="89"/>
      <c r="J41" s="18"/>
      <c r="K41" s="25"/>
      <c r="L41" s="19">
        <v>2021</v>
      </c>
      <c r="M41" s="19">
        <v>2020</v>
      </c>
      <c r="O41" s="7"/>
      <c r="P41" s="7"/>
      <c r="Q41" s="7"/>
      <c r="V41" s="7"/>
      <c r="W41" s="7"/>
      <c r="X41" s="7"/>
      <c r="AB41" s="7"/>
    </row>
    <row r="42" spans="1:28" x14ac:dyDescent="0.35">
      <c r="A42" s="14" t="str">
        <f t="shared" si="3"/>
        <v>Dividends</v>
      </c>
      <c r="B42" s="15" t="s">
        <v>43</v>
      </c>
      <c r="C42" s="56">
        <f>'Proventos (port)'!C43</f>
        <v>44140</v>
      </c>
      <c r="D42" s="56">
        <f>'Proventos (port)'!D43</f>
        <v>44148</v>
      </c>
      <c r="E42" s="89">
        <f>'Proventos (port)'!E43</f>
        <v>344000</v>
      </c>
      <c r="F42" s="90">
        <f>'Proventos (port)'!F43</f>
        <v>0.52209499999999998</v>
      </c>
      <c r="G42" s="89"/>
      <c r="H42" s="17"/>
      <c r="I42" s="89"/>
      <c r="J42" s="18"/>
      <c r="K42" s="25"/>
      <c r="L42" s="19">
        <v>2020</v>
      </c>
      <c r="M42" s="19">
        <v>2020</v>
      </c>
      <c r="O42" s="7"/>
      <c r="P42" s="7"/>
      <c r="Q42" s="7"/>
      <c r="V42" s="7"/>
      <c r="W42" s="7"/>
      <c r="X42" s="7"/>
      <c r="AB42" s="7"/>
    </row>
    <row r="43" spans="1:28" x14ac:dyDescent="0.35">
      <c r="A43" s="14" t="str">
        <f t="shared" si="3"/>
        <v>Dividends</v>
      </c>
      <c r="B43" s="15" t="s">
        <v>43</v>
      </c>
      <c r="C43" s="56">
        <f>'Proventos (port)'!C44</f>
        <v>44019</v>
      </c>
      <c r="D43" s="56">
        <f>'Proventos (port)'!D44</f>
        <v>44028</v>
      </c>
      <c r="E43" s="89">
        <f>'Proventos (port)'!E44</f>
        <v>100000</v>
      </c>
      <c r="F43" s="90">
        <f>'Proventos (port)'!F44</f>
        <v>0.15177199999999999</v>
      </c>
      <c r="G43" s="89"/>
      <c r="H43" s="17"/>
      <c r="I43" s="89"/>
      <c r="J43" s="18"/>
      <c r="K43" s="25"/>
      <c r="L43" s="19">
        <v>2020</v>
      </c>
      <c r="M43" s="19">
        <v>2020</v>
      </c>
      <c r="O43" s="7"/>
      <c r="P43" s="7"/>
      <c r="Q43" s="7"/>
      <c r="V43" s="7"/>
      <c r="W43" s="7"/>
      <c r="X43" s="7"/>
      <c r="AB43" s="7"/>
    </row>
    <row r="44" spans="1:28" x14ac:dyDescent="0.35">
      <c r="A44" s="14" t="str">
        <f t="shared" si="3"/>
        <v>IOE</v>
      </c>
      <c r="B44" s="15" t="s">
        <v>42</v>
      </c>
      <c r="C44" s="56">
        <f>'Proventos (port)'!C45</f>
        <v>43938</v>
      </c>
      <c r="D44" s="56">
        <f>'Proventos (port)'!D45</f>
        <v>43950</v>
      </c>
      <c r="E44" s="89">
        <f>'Proventos (port)'!E45</f>
        <v>150333</v>
      </c>
      <c r="F44" s="90">
        <f>'Proventos (port)'!F45</f>
        <v>0.22816400000000001</v>
      </c>
      <c r="G44" s="89"/>
      <c r="H44" s="17"/>
      <c r="I44" s="89"/>
      <c r="J44" s="18"/>
      <c r="K44" s="25"/>
      <c r="L44" s="19">
        <v>2020</v>
      </c>
      <c r="M44" s="19">
        <v>2020</v>
      </c>
      <c r="O44" s="7"/>
      <c r="P44" s="7"/>
      <c r="Q44" s="7"/>
      <c r="V44" s="7"/>
      <c r="W44" s="7"/>
      <c r="X44" s="7"/>
      <c r="AB44" s="7"/>
    </row>
    <row r="45" spans="1:28" s="25" customFormat="1" ht="16" thickBot="1" x14ac:dyDescent="0.4">
      <c r="A45" s="14"/>
      <c r="B45" s="15"/>
      <c r="C45" s="56"/>
      <c r="D45" s="56"/>
      <c r="E45" s="89"/>
      <c r="F45" s="90"/>
      <c r="G45" s="89"/>
      <c r="H45" s="17"/>
      <c r="I45" s="89"/>
      <c r="J45" s="18"/>
      <c r="L45" s="19"/>
      <c r="M45" s="19"/>
    </row>
    <row r="46" spans="1:28" s="25" customFormat="1" ht="16" thickBot="1" x14ac:dyDescent="0.4">
      <c r="A46" s="14" t="str">
        <f t="shared" si="3"/>
        <v>2019</v>
      </c>
      <c r="B46" s="82">
        <v>2019</v>
      </c>
      <c r="C46" s="83"/>
      <c r="D46" s="83"/>
      <c r="E46" s="84">
        <f>SUM(E47:E50)</f>
        <v>995260.36165999994</v>
      </c>
      <c r="F46" s="85">
        <f>SUM(F47:F50)</f>
        <v>1.510526</v>
      </c>
      <c r="G46" s="84">
        <v>1762631</v>
      </c>
      <c r="H46" s="8">
        <f>E46/G46</f>
        <v>0.564644762097115</v>
      </c>
      <c r="I46" s="84">
        <v>1221830</v>
      </c>
      <c r="J46" s="9">
        <f>E46/I46</f>
        <v>0.81456533368799255</v>
      </c>
      <c r="L46" s="19"/>
      <c r="M46" s="19"/>
    </row>
    <row r="47" spans="1:28" s="25" customFormat="1" x14ac:dyDescent="0.35">
      <c r="A47" s="14" t="str">
        <f t="shared" si="3"/>
        <v>IOE</v>
      </c>
      <c r="B47" s="15" t="s">
        <v>42</v>
      </c>
      <c r="C47" s="56">
        <f>'Proventos (port)'!C48</f>
        <v>43815</v>
      </c>
      <c r="D47" s="56">
        <f>'Proventos (port)'!D48</f>
        <v>43850</v>
      </c>
      <c r="E47" s="89">
        <f>'Proventos (port)'!E48</f>
        <v>107845.36032000001</v>
      </c>
      <c r="F47" s="90">
        <f>'Proventos (port)'!F48</f>
        <v>0.16367899999999999</v>
      </c>
      <c r="G47" s="89"/>
      <c r="H47" s="17"/>
      <c r="I47" s="89"/>
      <c r="J47" s="18"/>
      <c r="K47" s="7"/>
      <c r="L47" s="19">
        <v>2020</v>
      </c>
      <c r="M47" s="19">
        <v>2019</v>
      </c>
    </row>
    <row r="48" spans="1:28" s="25" customFormat="1" x14ac:dyDescent="0.35">
      <c r="A48" s="14" t="str">
        <f t="shared" si="3"/>
        <v>Dividends</v>
      </c>
      <c r="B48" s="15" t="s">
        <v>43</v>
      </c>
      <c r="C48" s="56">
        <f>'Proventos (port)'!C49</f>
        <v>43780</v>
      </c>
      <c r="D48" s="56">
        <f>'Proventos (port)'!D49</f>
        <v>43802</v>
      </c>
      <c r="E48" s="89">
        <f>'Proventos (port)'!E49</f>
        <v>293555.57285</v>
      </c>
      <c r="F48" s="90">
        <f>'Proventos (port)'!F49</f>
        <v>0.44553500000000001</v>
      </c>
      <c r="G48" s="89"/>
      <c r="H48" s="17"/>
      <c r="I48" s="89"/>
      <c r="J48" s="18"/>
      <c r="K48" s="7"/>
      <c r="L48" s="19">
        <v>2019</v>
      </c>
      <c r="M48" s="19">
        <v>2019</v>
      </c>
    </row>
    <row r="49" spans="1:28" s="25" customFormat="1" x14ac:dyDescent="0.35">
      <c r="A49" s="14" t="str">
        <f t="shared" si="3"/>
        <v>IOE</v>
      </c>
      <c r="B49" s="15" t="s">
        <v>42</v>
      </c>
      <c r="C49" s="56">
        <f>'Proventos (port)'!C50</f>
        <v>43780</v>
      </c>
      <c r="D49" s="56">
        <f>'Proventos (port)'!D50</f>
        <v>43802</v>
      </c>
      <c r="E49" s="89">
        <f>'Proventos (port)'!E50</f>
        <v>223444.45934999999</v>
      </c>
      <c r="F49" s="90">
        <f>'Proventos (port)'!F50</f>
        <v>0.33912599999999998</v>
      </c>
      <c r="G49" s="89"/>
      <c r="H49" s="17"/>
      <c r="I49" s="89"/>
      <c r="J49" s="18"/>
      <c r="K49" s="7"/>
      <c r="L49" s="19">
        <v>2019</v>
      </c>
      <c r="M49" s="19">
        <v>2019</v>
      </c>
      <c r="O49" s="33"/>
      <c r="P49" s="33"/>
      <c r="Q49" s="33"/>
      <c r="R49" s="34"/>
      <c r="S49" s="54"/>
      <c r="T49" s="34"/>
      <c r="U49" s="7"/>
      <c r="V49" s="33"/>
      <c r="W49" s="33"/>
      <c r="X49" s="33"/>
      <c r="Y49" s="34"/>
      <c r="Z49" s="34"/>
      <c r="AA49" s="34"/>
      <c r="AB49" s="35"/>
    </row>
    <row r="50" spans="1:28" s="25" customFormat="1" x14ac:dyDescent="0.35">
      <c r="A50" s="14" t="str">
        <f t="shared" si="3"/>
        <v>IOE</v>
      </c>
      <c r="B50" s="15" t="s">
        <v>42</v>
      </c>
      <c r="C50" s="56">
        <f>'Proventos (port)'!C51</f>
        <v>43682</v>
      </c>
      <c r="D50" s="56">
        <f>'Proventos (port)'!D51</f>
        <v>43696</v>
      </c>
      <c r="E50" s="89">
        <f>'Proventos (port)'!E51</f>
        <v>370414.96914</v>
      </c>
      <c r="F50" s="90">
        <f>'Proventos (port)'!F51</f>
        <v>0.56218599999999996</v>
      </c>
      <c r="G50" s="89"/>
      <c r="H50" s="17"/>
      <c r="I50" s="89"/>
      <c r="J50" s="18"/>
      <c r="K50" s="7"/>
      <c r="L50" s="19">
        <v>2019</v>
      </c>
      <c r="M50" s="19">
        <v>2019</v>
      </c>
      <c r="O50" s="33"/>
      <c r="P50" s="33"/>
      <c r="Q50" s="33"/>
      <c r="U50" s="7"/>
      <c r="V50" s="33"/>
      <c r="W50" s="33"/>
      <c r="X50" s="33"/>
      <c r="AB50" s="36"/>
    </row>
    <row r="51" spans="1:28" s="25" customFormat="1" ht="16" thickBot="1" x14ac:dyDescent="0.4">
      <c r="A51" s="14"/>
      <c r="B51" s="15"/>
      <c r="C51" s="56"/>
      <c r="D51" s="56"/>
      <c r="E51" s="89"/>
      <c r="F51" s="90"/>
      <c r="G51" s="89"/>
      <c r="H51" s="17"/>
      <c r="I51" s="89"/>
      <c r="J51" s="18"/>
      <c r="L51" s="19"/>
      <c r="M51" s="19"/>
      <c r="O51" s="32"/>
      <c r="P51" s="32"/>
      <c r="Q51" s="32"/>
      <c r="R51" s="7"/>
      <c r="S51" s="7"/>
      <c r="T51" s="7"/>
      <c r="U51" s="7"/>
      <c r="V51" s="32"/>
      <c r="W51" s="32"/>
      <c r="X51" s="32"/>
      <c r="Y51" s="7"/>
      <c r="Z51" s="7"/>
      <c r="AA51" s="7"/>
      <c r="AB51" s="37"/>
    </row>
    <row r="52" spans="1:28" ht="16" thickBot="1" x14ac:dyDescent="0.4">
      <c r="A52" s="14" t="str">
        <f t="shared" si="3"/>
        <v>2018</v>
      </c>
      <c r="B52" s="82">
        <v>2018</v>
      </c>
      <c r="C52" s="83"/>
      <c r="D52" s="83"/>
      <c r="E52" s="84">
        <f>SUM(E53:E55)</f>
        <v>1985306.6502900003</v>
      </c>
      <c r="F52" s="85">
        <f>SUM(F53:F55)</f>
        <v>12.052554000000001</v>
      </c>
      <c r="G52" s="84">
        <v>1881668</v>
      </c>
      <c r="H52" s="8">
        <f>E52/G52</f>
        <v>1.0550780745009216</v>
      </c>
      <c r="I52" s="84">
        <v>1276311</v>
      </c>
      <c r="J52" s="9">
        <f>E52/I52</f>
        <v>1.5555038311900471</v>
      </c>
      <c r="K52" s="25"/>
      <c r="L52" s="19"/>
      <c r="M52" s="19"/>
    </row>
    <row r="53" spans="1:28" x14ac:dyDescent="0.35">
      <c r="A53" s="14" t="str">
        <f t="shared" si="3"/>
        <v>Dividends</v>
      </c>
      <c r="B53" s="15" t="s">
        <v>43</v>
      </c>
      <c r="C53" s="56">
        <f>'Proventos (port)'!C54</f>
        <v>43441</v>
      </c>
      <c r="D53" s="56">
        <f>'Proventos (port)'!D54</f>
        <v>43451</v>
      </c>
      <c r="E53" s="89">
        <f>'Proventos (port)'!E54</f>
        <v>633000.06173000007</v>
      </c>
      <c r="F53" s="90">
        <f>'Proventos (port)'!F54</f>
        <v>3.8428659999999999</v>
      </c>
      <c r="G53" s="89"/>
      <c r="H53" s="17"/>
      <c r="I53" s="89"/>
      <c r="J53" s="18"/>
      <c r="K53" s="25"/>
      <c r="L53" s="19">
        <v>2018</v>
      </c>
      <c r="M53" s="19">
        <v>2018</v>
      </c>
    </row>
    <row r="54" spans="1:28" x14ac:dyDescent="0.35">
      <c r="A54" s="14" t="str">
        <f t="shared" si="3"/>
        <v>IOE</v>
      </c>
      <c r="B54" s="15" t="s">
        <v>42</v>
      </c>
      <c r="C54" s="56">
        <f>'Proventos (port)'!C55</f>
        <v>43441</v>
      </c>
      <c r="D54" s="56">
        <f>'Proventos (port)'!D55</f>
        <v>43451</v>
      </c>
      <c r="E54" s="89">
        <f>'Proventos (port)'!E55</f>
        <v>592000.05981000001</v>
      </c>
      <c r="F54" s="90">
        <f>'Proventos (port)'!F55</f>
        <v>3.59396</v>
      </c>
      <c r="G54" s="89"/>
      <c r="H54" s="17"/>
      <c r="I54" s="89"/>
      <c r="J54" s="18"/>
      <c r="K54" s="25"/>
      <c r="L54" s="19">
        <v>2018</v>
      </c>
      <c r="M54" s="19">
        <v>2018</v>
      </c>
    </row>
    <row r="55" spans="1:28" x14ac:dyDescent="0.35">
      <c r="A55" s="14" t="str">
        <f t="shared" si="3"/>
        <v>Dividends</v>
      </c>
      <c r="B55" s="15" t="s">
        <v>43</v>
      </c>
      <c r="C55" s="56">
        <f>'Proventos (port)'!C56</f>
        <v>43257</v>
      </c>
      <c r="D55" s="56">
        <f>'Proventos (port)'!D56</f>
        <v>43269</v>
      </c>
      <c r="E55" s="89">
        <f>'Proventos (port)'!E56</f>
        <v>760306.52875000006</v>
      </c>
      <c r="F55" s="90">
        <f>'Proventos (port)'!F56</f>
        <v>4.6157279999999998</v>
      </c>
      <c r="G55" s="89"/>
      <c r="H55" s="17"/>
      <c r="I55" s="89"/>
      <c r="J55" s="18"/>
      <c r="K55" s="25"/>
      <c r="L55" s="19">
        <v>2018</v>
      </c>
      <c r="M55" s="19">
        <v>2018</v>
      </c>
    </row>
    <row r="56" spans="1:28" ht="16" thickBot="1" x14ac:dyDescent="0.4">
      <c r="A56" s="14"/>
      <c r="B56" s="15"/>
      <c r="C56" s="16"/>
      <c r="D56" s="16"/>
      <c r="E56" s="89"/>
      <c r="F56" s="90"/>
      <c r="G56" s="89"/>
      <c r="H56" s="17"/>
      <c r="I56" s="89"/>
      <c r="J56" s="18"/>
      <c r="K56" s="25"/>
      <c r="L56" s="19"/>
      <c r="M56" s="19"/>
    </row>
    <row r="57" spans="1:28" ht="16" thickBot="1" x14ac:dyDescent="0.4">
      <c r="A57" s="14" t="str">
        <f t="shared" si="3"/>
        <v>2017</v>
      </c>
      <c r="B57" s="82">
        <v>2017</v>
      </c>
      <c r="C57" s="83"/>
      <c r="D57" s="83"/>
      <c r="E57" s="84">
        <f>SUM(E58:E60)</f>
        <v>585093.64501741016</v>
      </c>
      <c r="F57" s="85">
        <f>SUM(F58:F60)</f>
        <v>3.5520320000000001</v>
      </c>
      <c r="G57" s="84">
        <v>1365512</v>
      </c>
      <c r="H57" s="8">
        <f>E57/(G57)</f>
        <v>0.42847931399900563</v>
      </c>
      <c r="I57" s="84">
        <v>615474</v>
      </c>
      <c r="J57" s="9">
        <f>E57/I57</f>
        <v>0.95063909282505865</v>
      </c>
      <c r="K57" s="55"/>
      <c r="L57" s="19"/>
      <c r="M57" s="19"/>
    </row>
    <row r="58" spans="1:28" x14ac:dyDescent="0.35">
      <c r="A58" s="14" t="str">
        <f t="shared" si="3"/>
        <v>Dividends</v>
      </c>
      <c r="B58" s="15" t="s">
        <v>43</v>
      </c>
      <c r="C58" s="56">
        <f>'Proventos (port)'!C59</f>
        <v>43208</v>
      </c>
      <c r="D58" s="56">
        <f>'Proventos (port)'!D59</f>
        <v>43266</v>
      </c>
      <c r="E58" s="89">
        <f>'Proventos (port)'!E59</f>
        <v>84693.518779316088</v>
      </c>
      <c r="F58" s="90">
        <f>'Proventos (port)'!F59</f>
        <v>0.51416399999999995</v>
      </c>
      <c r="G58" s="89"/>
      <c r="H58" s="17"/>
      <c r="I58" s="89"/>
      <c r="J58" s="18"/>
      <c r="L58" s="19">
        <v>2018</v>
      </c>
      <c r="M58" s="19">
        <v>2017</v>
      </c>
    </row>
    <row r="59" spans="1:28" x14ac:dyDescent="0.35">
      <c r="A59" s="14" t="str">
        <f t="shared" si="3"/>
        <v>Dividends</v>
      </c>
      <c r="B59" s="15" t="s">
        <v>43</v>
      </c>
      <c r="C59" s="56">
        <f>'Proventos (port)'!C60</f>
        <v>43060</v>
      </c>
      <c r="D59" s="56">
        <f>'Proventos (port)'!D60</f>
        <v>43067</v>
      </c>
      <c r="E59" s="89">
        <f>'Proventos (port)'!E60</f>
        <v>365400.04359433585</v>
      </c>
      <c r="F59" s="90">
        <f>'Proventos (port)'!F60</f>
        <v>2.218299</v>
      </c>
      <c r="G59" s="89"/>
      <c r="H59" s="17"/>
      <c r="I59" s="89"/>
      <c r="J59" s="18"/>
      <c r="L59" s="19">
        <v>2017</v>
      </c>
      <c r="M59" s="19">
        <v>2017</v>
      </c>
    </row>
    <row r="60" spans="1:28" x14ac:dyDescent="0.35">
      <c r="A60" s="14" t="str">
        <f t="shared" si="3"/>
        <v>Dividends</v>
      </c>
      <c r="B60" s="15" t="s">
        <v>43</v>
      </c>
      <c r="C60" s="56">
        <f>'Proventos (port)'!C61</f>
        <v>42888</v>
      </c>
      <c r="D60" s="56">
        <f>'Proventos (port)'!D61</f>
        <v>42899</v>
      </c>
      <c r="E60" s="89">
        <f>'Proventos (port)'!E61</f>
        <v>135000.08264375824</v>
      </c>
      <c r="F60" s="90">
        <f>'Proventos (port)'!F61</f>
        <v>0.81956899999999999</v>
      </c>
      <c r="G60" s="89"/>
      <c r="H60" s="17"/>
      <c r="I60" s="89"/>
      <c r="J60" s="18"/>
      <c r="L60" s="19">
        <v>2017</v>
      </c>
      <c r="M60" s="19">
        <v>2017</v>
      </c>
    </row>
    <row r="61" spans="1:28" ht="16" thickBot="1" x14ac:dyDescent="0.4">
      <c r="A61" s="14"/>
      <c r="B61" s="15"/>
      <c r="C61" s="56"/>
      <c r="D61" s="56"/>
      <c r="E61" s="89"/>
      <c r="F61" s="90"/>
      <c r="G61" s="89"/>
      <c r="H61" s="17"/>
      <c r="I61" s="89"/>
      <c r="J61" s="18"/>
      <c r="L61" s="19"/>
      <c r="M61" s="19"/>
    </row>
    <row r="62" spans="1:28" ht="16" thickBot="1" x14ac:dyDescent="0.4">
      <c r="A62" s="14" t="str">
        <f t="shared" si="3"/>
        <v>2016</v>
      </c>
      <c r="B62" s="82">
        <v>2016</v>
      </c>
      <c r="C62" s="83"/>
      <c r="D62" s="83"/>
      <c r="E62" s="84">
        <f>SUM(E63:E64)</f>
        <v>247500.12406008574</v>
      </c>
      <c r="F62" s="85">
        <f>SUM(F63:F64)</f>
        <v>1.502543</v>
      </c>
      <c r="G62" s="84">
        <v>4932312</v>
      </c>
      <c r="H62" s="8">
        <f>E62/(G62)</f>
        <v>5.0179332544268436E-2</v>
      </c>
      <c r="I62" s="84">
        <v>228785</v>
      </c>
      <c r="J62" s="9">
        <f>E62/I62</f>
        <v>1.0818022338006676</v>
      </c>
      <c r="L62" s="19"/>
      <c r="M62" s="19"/>
    </row>
    <row r="63" spans="1:28" x14ac:dyDescent="0.35">
      <c r="A63" s="14" t="str">
        <f t="shared" si="3"/>
        <v>Dividends</v>
      </c>
      <c r="B63" s="15" t="s">
        <v>43</v>
      </c>
      <c r="C63" s="56">
        <f>'Proventos (port)'!C64</f>
        <v>42709</v>
      </c>
      <c r="D63" s="56">
        <f>'Proventos (port)'!D64</f>
        <v>42755</v>
      </c>
      <c r="E63" s="89">
        <f>'Proventos (port)'!E64</f>
        <v>137500.05061995587</v>
      </c>
      <c r="F63" s="90">
        <f>'Proventos (port)'!F64</f>
        <v>0.83474599999999999</v>
      </c>
      <c r="G63" s="89"/>
      <c r="H63" s="17"/>
      <c r="I63" s="89"/>
      <c r="J63" s="18"/>
      <c r="L63" s="19">
        <v>2017</v>
      </c>
      <c r="M63" s="19">
        <v>2016</v>
      </c>
    </row>
    <row r="64" spans="1:28" x14ac:dyDescent="0.35">
      <c r="A64" s="14" t="str">
        <f t="shared" si="3"/>
        <v>Dividends</v>
      </c>
      <c r="B64" s="15" t="s">
        <v>43</v>
      </c>
      <c r="C64" s="56">
        <f>'Proventos (port)'!C65</f>
        <v>42543</v>
      </c>
      <c r="D64" s="56">
        <f>'Proventos (port)'!D65</f>
        <v>42552</v>
      </c>
      <c r="E64" s="89">
        <f>'Proventos (port)'!E65</f>
        <v>110000.07344012988</v>
      </c>
      <c r="F64" s="90">
        <f>'Proventos (port)'!F65</f>
        <v>0.66779699999999997</v>
      </c>
      <c r="G64" s="89"/>
      <c r="H64" s="17"/>
      <c r="I64" s="89"/>
      <c r="J64" s="18"/>
      <c r="L64" s="19">
        <v>2016</v>
      </c>
      <c r="M64" s="19">
        <v>2016</v>
      </c>
    </row>
    <row r="65" spans="1:13" ht="16" thickBot="1" x14ac:dyDescent="0.4">
      <c r="A65" s="14"/>
      <c r="B65" s="15"/>
      <c r="C65" s="56"/>
      <c r="D65" s="56"/>
      <c r="E65" s="89"/>
      <c r="F65" s="90"/>
      <c r="G65" s="89"/>
      <c r="H65" s="17"/>
      <c r="I65" s="89"/>
      <c r="J65" s="18"/>
      <c r="L65" s="19"/>
      <c r="M65" s="19"/>
    </row>
    <row r="66" spans="1:13" ht="16" thickBot="1" x14ac:dyDescent="0.4">
      <c r="A66" s="14" t="str">
        <f t="shared" si="3"/>
        <v>2015</v>
      </c>
      <c r="B66" s="82">
        <v>2015</v>
      </c>
      <c r="C66" s="83"/>
      <c r="D66" s="83"/>
      <c r="E66" s="84">
        <f>SUM(E67:E68)</f>
        <v>334865.09512999997</v>
      </c>
      <c r="F66" s="85">
        <f>SUM(F67:F68)</f>
        <v>2.0765609999999999</v>
      </c>
      <c r="G66" s="84">
        <v>504430</v>
      </c>
      <c r="H66" s="8">
        <f>E66/(G66)</f>
        <v>0.66384849261542722</v>
      </c>
      <c r="I66" s="84">
        <v>271887</v>
      </c>
      <c r="J66" s="9">
        <f>E66/I66</f>
        <v>1.231633344477669</v>
      </c>
      <c r="L66" s="19"/>
      <c r="M66" s="19"/>
    </row>
    <row r="67" spans="1:13" x14ac:dyDescent="0.35">
      <c r="A67" s="14" t="str">
        <f t="shared" si="3"/>
        <v>Dividends</v>
      </c>
      <c r="B67" s="15" t="s">
        <v>43</v>
      </c>
      <c r="C67" s="56">
        <f>'Proventos (port)'!C68</f>
        <v>42334</v>
      </c>
      <c r="D67" s="56">
        <f>'Proventos (port)'!D68</f>
        <v>42345</v>
      </c>
      <c r="E67" s="89">
        <f>'Proventos (port)'!E68</f>
        <v>224100.00697999998</v>
      </c>
      <c r="F67" s="90">
        <f>'Proventos (port)'!F68</f>
        <v>1.389686</v>
      </c>
      <c r="G67" s="89"/>
      <c r="H67" s="17"/>
      <c r="I67" s="89"/>
      <c r="J67" s="18"/>
      <c r="L67" s="19">
        <v>2015</v>
      </c>
      <c r="M67" s="19">
        <v>2015</v>
      </c>
    </row>
    <row r="68" spans="1:13" x14ac:dyDescent="0.35">
      <c r="A68" s="14" t="str">
        <f t="shared" si="3"/>
        <v>Dividends</v>
      </c>
      <c r="B68" s="15" t="s">
        <v>43</v>
      </c>
      <c r="C68" s="56">
        <f>'Proventos (port)'!C69</f>
        <v>42151</v>
      </c>
      <c r="D68" s="56">
        <f>'Proventos (port)'!D69</f>
        <v>42163</v>
      </c>
      <c r="E68" s="89">
        <f>'Proventos (port)'!E69</f>
        <v>110765.08815000001</v>
      </c>
      <c r="F68" s="90">
        <f>'Proventos (port)'!F69</f>
        <v>0.68687500000000001</v>
      </c>
      <c r="G68" s="89"/>
      <c r="H68" s="17"/>
      <c r="I68" s="89"/>
      <c r="J68" s="18"/>
      <c r="L68" s="19">
        <v>2015</v>
      </c>
      <c r="M68" s="19">
        <v>2015</v>
      </c>
    </row>
    <row r="69" spans="1:13" ht="16" thickBot="1" x14ac:dyDescent="0.4">
      <c r="A69" s="14"/>
      <c r="B69" s="15"/>
      <c r="C69" s="56"/>
      <c r="D69" s="56"/>
      <c r="E69" s="89"/>
      <c r="F69" s="90"/>
      <c r="G69" s="89"/>
      <c r="H69" s="17"/>
      <c r="I69" s="89"/>
      <c r="J69" s="18"/>
      <c r="L69" s="19"/>
      <c r="M69" s="19"/>
    </row>
    <row r="70" spans="1:13" ht="16" thickBot="1" x14ac:dyDescent="0.4">
      <c r="A70" s="14" t="str">
        <f t="shared" si="3"/>
        <v>2014</v>
      </c>
      <c r="B70" s="82">
        <v>2014</v>
      </c>
      <c r="C70" s="83"/>
      <c r="D70" s="83"/>
      <c r="E70" s="84">
        <f>SUM(E71:E73)</f>
        <v>227718.83040250081</v>
      </c>
      <c r="F70" s="85">
        <f>SUM(F71:F73)</f>
        <v>1.4121270000000001</v>
      </c>
      <c r="G70" s="84">
        <v>378215</v>
      </c>
      <c r="H70" s="8">
        <f>E70/(G70)</f>
        <v>0.60208831062358925</v>
      </c>
      <c r="I70" s="84">
        <v>248140</v>
      </c>
      <c r="J70" s="9">
        <f>E70/I70</f>
        <v>0.91770303216934312</v>
      </c>
      <c r="L70" s="19"/>
      <c r="M70" s="19"/>
    </row>
    <row r="71" spans="1:13" x14ac:dyDescent="0.35">
      <c r="A71" s="14" t="str">
        <f t="shared" si="3"/>
        <v>Dividends</v>
      </c>
      <c r="B71" s="15" t="s">
        <v>43</v>
      </c>
      <c r="C71" s="56">
        <f>'Proventos (port)'!C72</f>
        <v>42131</v>
      </c>
      <c r="D71" s="56">
        <f>'Proventos (port)'!D72</f>
        <v>42185</v>
      </c>
      <c r="E71" s="89">
        <f>'Proventos (port)'!E72</f>
        <v>31029.060550000002</v>
      </c>
      <c r="F71" s="90">
        <f>'Proventos (port)'!F72</f>
        <v>0.192417</v>
      </c>
      <c r="G71" s="89"/>
      <c r="H71" s="17"/>
      <c r="I71" s="89"/>
      <c r="J71" s="18"/>
      <c r="L71" s="19">
        <v>2015</v>
      </c>
      <c r="M71" s="19">
        <v>2014</v>
      </c>
    </row>
    <row r="72" spans="1:13" x14ac:dyDescent="0.35">
      <c r="A72" s="14" t="str">
        <f t="shared" si="3"/>
        <v>Dividends</v>
      </c>
      <c r="B72" s="15" t="s">
        <v>43</v>
      </c>
      <c r="C72" s="56">
        <f>'Proventos (port)'!C73</f>
        <v>41968</v>
      </c>
      <c r="D72" s="56">
        <f>'Proventos (port)'!D73</f>
        <v>41978</v>
      </c>
      <c r="E72" s="89">
        <f>'Proventos (port)'!E73</f>
        <v>165000.02931352486</v>
      </c>
      <c r="F72" s="90">
        <f>'Proventos (port)'!F73</f>
        <v>1.023196</v>
      </c>
      <c r="G72" s="89"/>
      <c r="H72" s="17"/>
      <c r="I72" s="89"/>
      <c r="J72" s="18"/>
      <c r="L72" s="19">
        <v>2014</v>
      </c>
      <c r="M72" s="19">
        <v>2014</v>
      </c>
    </row>
    <row r="73" spans="1:13" x14ac:dyDescent="0.35">
      <c r="A73" s="14" t="str">
        <f t="shared" si="3"/>
        <v>IOE</v>
      </c>
      <c r="B73" s="15" t="s">
        <v>42</v>
      </c>
      <c r="C73" s="56">
        <f>'Proventos (port)'!C74</f>
        <v>41864</v>
      </c>
      <c r="D73" s="56">
        <f>'Proventos (port)'!D74</f>
        <v>41880</v>
      </c>
      <c r="E73" s="89">
        <f>'Proventos (port)'!E74</f>
        <v>31689.740538975941</v>
      </c>
      <c r="F73" s="90">
        <f>'Proventos (port)'!F74</f>
        <v>0.19651399999999999</v>
      </c>
      <c r="G73" s="89"/>
      <c r="H73" s="17"/>
      <c r="I73" s="89"/>
      <c r="J73" s="18"/>
      <c r="L73" s="19">
        <v>2014</v>
      </c>
      <c r="M73" s="19">
        <v>2014</v>
      </c>
    </row>
    <row r="74" spans="1:13" ht="16" thickBot="1" x14ac:dyDescent="0.4">
      <c r="A74" s="14"/>
      <c r="B74" s="15"/>
      <c r="C74" s="16"/>
      <c r="D74" s="16"/>
      <c r="E74" s="89"/>
      <c r="F74" s="90"/>
      <c r="G74" s="89"/>
      <c r="H74" s="17"/>
      <c r="I74" s="89"/>
      <c r="J74" s="18"/>
      <c r="L74" s="19"/>
      <c r="M74" s="19"/>
    </row>
    <row r="75" spans="1:13" ht="16" thickBot="1" x14ac:dyDescent="0.4">
      <c r="A75" s="14" t="str">
        <f t="shared" si="3"/>
        <v>2013</v>
      </c>
      <c r="B75" s="82">
        <v>2013</v>
      </c>
      <c r="C75" s="83"/>
      <c r="D75" s="83"/>
      <c r="E75" s="84">
        <f>SUM(E76:E77)</f>
        <v>230000.21914999999</v>
      </c>
      <c r="F75" s="85">
        <f>SUM(F76:F77)</f>
        <v>1.506602</v>
      </c>
      <c r="G75" s="84">
        <v>31900</v>
      </c>
      <c r="H75" s="8" t="s">
        <v>24</v>
      </c>
      <c r="I75" s="84">
        <v>-145400</v>
      </c>
      <c r="J75" s="9" t="s">
        <v>24</v>
      </c>
      <c r="L75" s="19"/>
      <c r="M75" s="19"/>
    </row>
    <row r="76" spans="1:13" x14ac:dyDescent="0.35">
      <c r="A76" s="14" t="str">
        <f t="shared" si="3"/>
        <v>Dividends</v>
      </c>
      <c r="B76" s="15" t="s">
        <v>43</v>
      </c>
      <c r="C76" s="56">
        <f>'Proventos (port)'!C77</f>
        <v>41731</v>
      </c>
      <c r="D76" s="56">
        <f>'Proventos (port)'!D77</f>
        <v>41851</v>
      </c>
      <c r="E76" s="89">
        <f>'Proventos (port)'!E77</f>
        <v>30000.13478</v>
      </c>
      <c r="F76" s="90">
        <f>'Proventos (port)'!F77</f>
        <v>0.19651399999999999</v>
      </c>
      <c r="G76" s="89"/>
      <c r="H76" s="17"/>
      <c r="I76" s="89"/>
      <c r="J76" s="18"/>
      <c r="L76" s="19">
        <v>2014</v>
      </c>
      <c r="M76" s="19">
        <v>2013</v>
      </c>
    </row>
    <row r="77" spans="1:13" x14ac:dyDescent="0.35">
      <c r="A77" s="14" t="str">
        <f t="shared" si="3"/>
        <v>IOE</v>
      </c>
      <c r="B77" s="15" t="s">
        <v>42</v>
      </c>
      <c r="C77" s="56">
        <f>'Proventos (port)'!C78</f>
        <v>41634</v>
      </c>
      <c r="D77" s="56">
        <f>'Proventos (port)'!D78</f>
        <v>41669</v>
      </c>
      <c r="E77" s="89">
        <f>'Proventos (port)'!E78</f>
        <v>200000.08437</v>
      </c>
      <c r="F77" s="90">
        <f>'Proventos (port)'!F78</f>
        <v>1.3100879999999999</v>
      </c>
      <c r="G77" s="89"/>
      <c r="H77" s="17"/>
      <c r="I77" s="89"/>
      <c r="J77" s="18"/>
      <c r="L77" s="19">
        <v>2014</v>
      </c>
      <c r="M77" s="19">
        <v>2013</v>
      </c>
    </row>
    <row r="78" spans="1:13" ht="16" thickBot="1" x14ac:dyDescent="0.4">
      <c r="A78" s="14"/>
      <c r="B78" s="15"/>
      <c r="C78" s="56"/>
      <c r="D78" s="56"/>
      <c r="E78" s="89"/>
      <c r="F78" s="90"/>
      <c r="G78" s="89"/>
      <c r="H78" s="17"/>
      <c r="I78" s="89"/>
      <c r="J78" s="18"/>
      <c r="L78" s="19"/>
      <c r="M78" s="19"/>
    </row>
    <row r="79" spans="1:13" ht="16" thickBot="1" x14ac:dyDescent="0.4">
      <c r="A79" s="14" t="str">
        <f t="shared" si="3"/>
        <v>2012</v>
      </c>
      <c r="B79" s="82">
        <v>2012</v>
      </c>
      <c r="C79" s="83"/>
      <c r="D79" s="83"/>
      <c r="E79" s="84">
        <f>SUM(E80:E83)</f>
        <v>242680.74669005111</v>
      </c>
      <c r="F79" s="85">
        <f>SUM(F80:F83)</f>
        <v>1.5896650000000001</v>
      </c>
      <c r="G79" s="84">
        <v>843488</v>
      </c>
      <c r="H79" s="8">
        <f>E79/(G79)</f>
        <v>0.28771096528943046</v>
      </c>
      <c r="I79" s="84">
        <v>1004000</v>
      </c>
      <c r="J79" s="9">
        <f>E79/I79</f>
        <v>0.24171389112554892</v>
      </c>
      <c r="L79" s="19"/>
      <c r="M79" s="19"/>
    </row>
    <row r="80" spans="1:13" x14ac:dyDescent="0.35">
      <c r="A80" s="14" t="str">
        <f t="shared" si="3"/>
        <v>Dividends</v>
      </c>
      <c r="B80" s="15" t="s">
        <v>43</v>
      </c>
      <c r="C80" s="56">
        <f>'Proventos (port)'!C81</f>
        <v>41092</v>
      </c>
      <c r="D80" s="56">
        <f>'Proventos (port)'!D81</f>
        <v>41117</v>
      </c>
      <c r="E80" s="89">
        <f>'Proventos (port)'!E81</f>
        <v>97050.162749098687</v>
      </c>
      <c r="F80" s="90">
        <f>'Proventos (port)'!F81</f>
        <v>0.63572099999999998</v>
      </c>
      <c r="G80" s="89"/>
      <c r="H80" s="17"/>
      <c r="I80" s="89"/>
      <c r="J80" s="18"/>
      <c r="L80" s="19">
        <v>2012</v>
      </c>
      <c r="M80" s="19">
        <v>2012</v>
      </c>
    </row>
    <row r="81" spans="1:13" x14ac:dyDescent="0.35">
      <c r="A81" s="14" t="str">
        <f t="shared" si="3"/>
        <v>IOE</v>
      </c>
      <c r="B81" s="15" t="s">
        <v>42</v>
      </c>
      <c r="C81" s="56">
        <f>'Proventos (port)'!C82</f>
        <v>41092</v>
      </c>
      <c r="D81" s="56">
        <f>'Proventos (port)'!D82</f>
        <v>41117</v>
      </c>
      <c r="E81" s="89">
        <f>'Proventos (port)'!E82</f>
        <v>63949.929569099404</v>
      </c>
      <c r="F81" s="90">
        <f>'Proventos (port)'!F82</f>
        <v>0.41889999999999999</v>
      </c>
      <c r="G81" s="89"/>
      <c r="H81" s="17"/>
      <c r="I81" s="89"/>
      <c r="J81" s="18"/>
      <c r="L81" s="19">
        <v>2012</v>
      </c>
      <c r="M81" s="19">
        <v>2012</v>
      </c>
    </row>
    <row r="82" spans="1:13" x14ac:dyDescent="0.35">
      <c r="A82" s="14" t="str">
        <f t="shared" si="3"/>
        <v>Dividends</v>
      </c>
      <c r="B82" s="15" t="s">
        <v>43</v>
      </c>
      <c r="C82" s="56">
        <f>'Proventos (port)'!C83</f>
        <v>41016</v>
      </c>
      <c r="D82" s="56">
        <f>'Proventos (port)'!D83</f>
        <v>41029</v>
      </c>
      <c r="E82" s="89">
        <f>'Proventos (port)'!E83</f>
        <v>31348.899706576736</v>
      </c>
      <c r="F82" s="90">
        <f>'Proventos (port)'!F83</f>
        <v>0.205349</v>
      </c>
      <c r="G82" s="89"/>
      <c r="H82" s="17"/>
      <c r="I82" s="89"/>
      <c r="J82" s="18"/>
      <c r="L82" s="19">
        <v>2012</v>
      </c>
      <c r="M82" s="19">
        <v>2012</v>
      </c>
    </row>
    <row r="83" spans="1:13" x14ac:dyDescent="0.35">
      <c r="A83" s="14" t="str">
        <f t="shared" si="3"/>
        <v>Dividends</v>
      </c>
      <c r="B83" s="15" t="s">
        <v>43</v>
      </c>
      <c r="C83" s="56">
        <f>'Proventos (port)'!C84</f>
        <v>41016</v>
      </c>
      <c r="D83" s="56">
        <f>'Proventos (port)'!D84</f>
        <v>41029</v>
      </c>
      <c r="E83" s="89">
        <f>'Proventos (port)'!E84</f>
        <v>50331.754665276268</v>
      </c>
      <c r="F83" s="90">
        <f>'Proventos (port)'!F84</f>
        <v>0.32969500000000002</v>
      </c>
      <c r="G83" s="89"/>
      <c r="H83" s="17"/>
      <c r="I83" s="89"/>
      <c r="J83" s="18"/>
      <c r="L83" s="19">
        <v>2012</v>
      </c>
      <c r="M83" s="19">
        <v>2012</v>
      </c>
    </row>
    <row r="84" spans="1:13" ht="16" thickBot="1" x14ac:dyDescent="0.4">
      <c r="A84" s="14"/>
      <c r="B84" s="15"/>
      <c r="C84" s="56"/>
      <c r="D84" s="56"/>
      <c r="E84" s="89"/>
      <c r="F84" s="90"/>
      <c r="G84" s="89"/>
      <c r="H84" s="17"/>
      <c r="I84" s="89"/>
      <c r="J84" s="18"/>
      <c r="L84" s="19"/>
      <c r="M84" s="19"/>
    </row>
    <row r="85" spans="1:13" ht="16" thickBot="1" x14ac:dyDescent="0.4">
      <c r="A85" s="14" t="str">
        <f t="shared" si="3"/>
        <v>2011</v>
      </c>
      <c r="B85" s="82">
        <v>2011</v>
      </c>
      <c r="C85" s="83"/>
      <c r="D85" s="83"/>
      <c r="E85" s="84">
        <f>SUM(E86:E91)</f>
        <v>691985.84615318</v>
      </c>
      <c r="F85" s="85">
        <f>SUM(F86:F91)</f>
        <v>4.5492609999999996</v>
      </c>
      <c r="G85" s="84">
        <v>915260</v>
      </c>
      <c r="H85" s="8">
        <f>E85/(G85)</f>
        <v>0.7560538493468304</v>
      </c>
      <c r="I85" s="84">
        <v>805700</v>
      </c>
      <c r="J85" s="9">
        <f>E85/I85</f>
        <v>0.85886290946156141</v>
      </c>
      <c r="L85" s="19"/>
      <c r="M85" s="19"/>
    </row>
    <row r="86" spans="1:13" x14ac:dyDescent="0.35">
      <c r="A86" s="14" t="str">
        <f t="shared" si="3"/>
        <v>IOE</v>
      </c>
      <c r="B86" s="15" t="s">
        <v>42</v>
      </c>
      <c r="C86" s="56">
        <f>'Proventos (port)'!C87</f>
        <v>40925</v>
      </c>
      <c r="D86" s="56">
        <f>'Proventos (port)'!D87</f>
        <v>40938</v>
      </c>
      <c r="E86" s="89">
        <f>'Proventos (port)'!E87</f>
        <v>64158.159943728795</v>
      </c>
      <c r="F86" s="90">
        <f>'Proventos (port)'!F87</f>
        <v>0.42026400000000003</v>
      </c>
      <c r="G86" s="89"/>
      <c r="H86" s="17"/>
      <c r="I86" s="89"/>
      <c r="J86" s="18"/>
      <c r="L86" s="19">
        <v>2012</v>
      </c>
      <c r="M86" s="19">
        <v>2011</v>
      </c>
    </row>
    <row r="87" spans="1:13" x14ac:dyDescent="0.35">
      <c r="A87" s="14" t="str">
        <f t="shared" si="3"/>
        <v>Dividends</v>
      </c>
      <c r="B87" s="15" t="s">
        <v>43</v>
      </c>
      <c r="C87" s="56">
        <f>'Proventos (port)'!C88</f>
        <v>40925</v>
      </c>
      <c r="D87" s="56">
        <f>'Proventos (port)'!D88</f>
        <v>40938</v>
      </c>
      <c r="E87" s="89">
        <f>'Proventos (port)'!E88</f>
        <v>169841.94483856834</v>
      </c>
      <c r="F87" s="90">
        <f>'Proventos (port)'!F88</f>
        <v>1.1125389999999999</v>
      </c>
      <c r="G87" s="89"/>
      <c r="H87" s="17"/>
      <c r="I87" s="89"/>
      <c r="J87" s="18"/>
      <c r="L87" s="19">
        <v>2012</v>
      </c>
      <c r="M87" s="19">
        <v>2011</v>
      </c>
    </row>
    <row r="88" spans="1:13" x14ac:dyDescent="0.35">
      <c r="A88" s="14" t="str">
        <f t="shared" si="3"/>
        <v>IOE</v>
      </c>
      <c r="B88" s="15" t="s">
        <v>42</v>
      </c>
      <c r="C88" s="56">
        <f>'Proventos (port)'!C89</f>
        <v>40827</v>
      </c>
      <c r="D88" s="56">
        <f>'Proventos (port)'!D89</f>
        <v>40847</v>
      </c>
      <c r="E88" s="89">
        <f>'Proventos (port)'!E89</f>
        <v>61228.528250000003</v>
      </c>
      <c r="F88" s="90">
        <f>'Proventos (port)'!F89</f>
        <v>0.40327299999999999</v>
      </c>
      <c r="G88" s="89"/>
      <c r="H88" s="17"/>
      <c r="I88" s="89"/>
      <c r="J88" s="18"/>
      <c r="L88" s="19">
        <v>2011</v>
      </c>
      <c r="M88" s="19">
        <v>2011</v>
      </c>
    </row>
    <row r="89" spans="1:13" x14ac:dyDescent="0.35">
      <c r="A89" s="14" t="str">
        <f t="shared" si="3"/>
        <v>Dividends</v>
      </c>
      <c r="B89" s="15" t="s">
        <v>43</v>
      </c>
      <c r="C89" s="56">
        <f>'Proventos (port)'!C90</f>
        <v>40827</v>
      </c>
      <c r="D89" s="56">
        <f>'Proventos (port)'!D90</f>
        <v>40847</v>
      </c>
      <c r="E89" s="89">
        <f>'Proventos (port)'!E90</f>
        <v>172771.51036000001</v>
      </c>
      <c r="F89" s="90">
        <f>'Proventos (port)'!F90</f>
        <v>1.1379349999999999</v>
      </c>
      <c r="G89" s="89"/>
      <c r="H89" s="17"/>
      <c r="I89" s="89"/>
      <c r="J89" s="18"/>
      <c r="L89" s="19">
        <v>2011</v>
      </c>
      <c r="M89" s="19">
        <v>2011</v>
      </c>
    </row>
    <row r="90" spans="1:13" x14ac:dyDescent="0.35">
      <c r="A90" s="14" t="str">
        <f t="shared" si="3"/>
        <v>IOE</v>
      </c>
      <c r="B90" s="15" t="s">
        <v>42</v>
      </c>
      <c r="C90" s="56">
        <f>'Proventos (port)'!C91</f>
        <v>40731</v>
      </c>
      <c r="D90" s="56">
        <f>'Proventos (port)'!D91</f>
        <v>40752</v>
      </c>
      <c r="E90" s="89">
        <f>'Proventos (port)'!E91</f>
        <v>63460.717920000003</v>
      </c>
      <c r="F90" s="90">
        <f>'Proventos (port)'!F91</f>
        <v>0.41797499999999999</v>
      </c>
      <c r="G90" s="89"/>
      <c r="H90" s="17"/>
      <c r="I90" s="89"/>
      <c r="J90" s="18"/>
      <c r="L90" s="19">
        <v>2011</v>
      </c>
      <c r="M90" s="19">
        <v>2011</v>
      </c>
    </row>
    <row r="91" spans="1:13" x14ac:dyDescent="0.35">
      <c r="A91" s="14" t="str">
        <f t="shared" si="3"/>
        <v>Dividends</v>
      </c>
      <c r="B91" s="15" t="s">
        <v>43</v>
      </c>
      <c r="C91" s="56">
        <f>'Proventos (port)'!C92</f>
        <v>40731</v>
      </c>
      <c r="D91" s="56">
        <f>'Proventos (port)'!D92</f>
        <v>40752</v>
      </c>
      <c r="E91" s="89">
        <f>'Proventos (port)'!E92</f>
        <v>160524.98484088283</v>
      </c>
      <c r="F91" s="90">
        <f>'Proventos (port)'!F92</f>
        <v>1.057275</v>
      </c>
      <c r="G91" s="89"/>
      <c r="H91" s="17"/>
      <c r="I91" s="89"/>
      <c r="J91" s="18"/>
      <c r="L91" s="19">
        <v>2011</v>
      </c>
      <c r="M91" s="19">
        <v>2011</v>
      </c>
    </row>
    <row r="92" spans="1:13" ht="16" thickBot="1" x14ac:dyDescent="0.4">
      <c r="A92" s="14"/>
      <c r="B92" s="15"/>
      <c r="C92" s="56"/>
      <c r="D92" s="56"/>
      <c r="E92" s="89"/>
      <c r="F92" s="90"/>
      <c r="G92" s="89"/>
      <c r="H92" s="17"/>
      <c r="I92" s="89"/>
      <c r="J92" s="18"/>
      <c r="L92" s="19"/>
      <c r="M92" s="19"/>
    </row>
    <row r="93" spans="1:13" ht="16" thickBot="1" x14ac:dyDescent="0.4">
      <c r="A93" s="14" t="str">
        <f t="shared" si="3"/>
        <v>2010</v>
      </c>
      <c r="B93" s="82">
        <v>2010</v>
      </c>
      <c r="C93" s="83"/>
      <c r="D93" s="83"/>
      <c r="E93" s="84">
        <f>SUM(E94:E102)</f>
        <v>775411.70514320454</v>
      </c>
      <c r="F93" s="85">
        <f>SUM(F94:F102)</f>
        <v>5.1071389999999992</v>
      </c>
      <c r="G93" s="84">
        <v>812171</v>
      </c>
      <c r="H93" s="8">
        <f>E93/(G93)</f>
        <v>0.95473946390994568</v>
      </c>
      <c r="I93" s="84">
        <f>G93</f>
        <v>812171</v>
      </c>
      <c r="J93" s="9">
        <f>E93/I93</f>
        <v>0.95473946390994568</v>
      </c>
      <c r="L93" s="19"/>
      <c r="M93" s="19"/>
    </row>
    <row r="94" spans="1:13" x14ac:dyDescent="0.35">
      <c r="A94" s="14" t="str">
        <f t="shared" si="3"/>
        <v>Dividends</v>
      </c>
      <c r="B94" s="15" t="s">
        <v>43</v>
      </c>
      <c r="C94" s="56">
        <f>'Proventos (port)'!C95</f>
        <v>40665</v>
      </c>
      <c r="D94" s="56">
        <f>'Proventos (port)'!D95</f>
        <v>40752</v>
      </c>
      <c r="E94" s="89">
        <f>'Proventos (port)'!E95</f>
        <v>16714.396922445219</v>
      </c>
      <c r="F94" s="90">
        <f>'Proventos (port)'!F95</f>
        <v>0.110087</v>
      </c>
      <c r="G94" s="89"/>
      <c r="H94" s="17"/>
      <c r="I94" s="89"/>
      <c r="J94" s="18"/>
      <c r="L94" s="19">
        <v>2011</v>
      </c>
      <c r="M94" s="19">
        <v>2010</v>
      </c>
    </row>
    <row r="95" spans="1:13" x14ac:dyDescent="0.35">
      <c r="A95" s="14" t="str">
        <f t="shared" si="3"/>
        <v>IOE</v>
      </c>
      <c r="B95" s="15" t="s">
        <v>42</v>
      </c>
      <c r="C95" s="56">
        <f>'Proventos (port)'!C96</f>
        <v>40640</v>
      </c>
      <c r="D95" s="56">
        <f>'Proventos (port)'!D96</f>
        <v>40662</v>
      </c>
      <c r="E95" s="89">
        <f>'Proventos (port)'!E96</f>
        <v>65692.755755138278</v>
      </c>
      <c r="F95" s="90">
        <f>'Proventos (port)'!F96</f>
        <v>0.43267600000000001</v>
      </c>
      <c r="G95" s="89"/>
      <c r="H95" s="17"/>
      <c r="I95" s="89"/>
      <c r="J95" s="18"/>
      <c r="L95" s="19">
        <v>2011</v>
      </c>
      <c r="M95" s="19">
        <v>2010</v>
      </c>
    </row>
    <row r="96" spans="1:13" x14ac:dyDescent="0.35">
      <c r="A96" s="14" t="str">
        <f t="shared" ref="A96:A156" si="5">LEFT(B96,9)</f>
        <v>Dividends</v>
      </c>
      <c r="B96" s="15" t="s">
        <v>43</v>
      </c>
      <c r="C96" s="56">
        <f>'Proventos (port)'!C97</f>
        <v>40640</v>
      </c>
      <c r="D96" s="56">
        <f>'Proventos (port)'!D97</f>
        <v>40662</v>
      </c>
      <c r="E96" s="89">
        <f>'Proventos (port)'!E97</f>
        <v>181307.18379577648</v>
      </c>
      <c r="F96" s="90">
        <f>'Proventos (port)'!F97</f>
        <v>1.1941539999999999</v>
      </c>
      <c r="G96" s="89"/>
      <c r="H96" s="17"/>
      <c r="I96" s="89"/>
      <c r="J96" s="18"/>
      <c r="L96" s="19">
        <v>2011</v>
      </c>
      <c r="M96" s="19">
        <v>2010</v>
      </c>
    </row>
    <row r="97" spans="1:13" x14ac:dyDescent="0.35">
      <c r="A97" s="14" t="str">
        <f t="shared" si="5"/>
        <v>IOE</v>
      </c>
      <c r="B97" s="15" t="s">
        <v>42</v>
      </c>
      <c r="C97" s="56">
        <f>'Proventos (port)'!C98</f>
        <v>40560</v>
      </c>
      <c r="D97" s="56">
        <f>'Proventos (port)'!D98</f>
        <v>40571</v>
      </c>
      <c r="E97" s="89">
        <f>'Proventos (port)'!E98</f>
        <v>63027.094353089255</v>
      </c>
      <c r="F97" s="90">
        <f>'Proventos (port)'!F98</f>
        <v>0.41511900000000002</v>
      </c>
      <c r="G97" s="89"/>
      <c r="H97" s="17"/>
      <c r="I97" s="89"/>
      <c r="J97" s="18"/>
      <c r="L97" s="19">
        <v>2011</v>
      </c>
      <c r="M97" s="19">
        <v>2010</v>
      </c>
    </row>
    <row r="98" spans="1:13" x14ac:dyDescent="0.35">
      <c r="A98" s="14" t="str">
        <f t="shared" si="5"/>
        <v>Dividends</v>
      </c>
      <c r="B98" s="15" t="s">
        <v>43</v>
      </c>
      <c r="C98" s="56">
        <f>'Proventos (port)'!C99</f>
        <v>40560</v>
      </c>
      <c r="D98" s="56">
        <f>'Proventos (port)'!D99</f>
        <v>40571</v>
      </c>
      <c r="E98" s="89">
        <f>'Proventos (port)'!E99</f>
        <v>112072.8652529071</v>
      </c>
      <c r="F98" s="90">
        <f>'Proventos (port)'!F99</f>
        <v>0.73815200000000003</v>
      </c>
      <c r="G98" s="89"/>
      <c r="H98" s="17"/>
      <c r="I98" s="89"/>
      <c r="J98" s="18"/>
      <c r="L98" s="19">
        <v>2011</v>
      </c>
      <c r="M98" s="19">
        <v>2010</v>
      </c>
    </row>
    <row r="99" spans="1:13" x14ac:dyDescent="0.35">
      <c r="A99" s="14" t="str">
        <f t="shared" si="5"/>
        <v>Dividends</v>
      </c>
      <c r="B99" s="15" t="s">
        <v>43</v>
      </c>
      <c r="C99" s="56">
        <f>'Proventos (port)'!C100</f>
        <v>40459</v>
      </c>
      <c r="D99" s="56">
        <f>'Proventos (port)'!D100</f>
        <v>40476</v>
      </c>
      <c r="E99" s="89">
        <f>'Proventos (port)'!E100</f>
        <v>146280.08627831275</v>
      </c>
      <c r="F99" s="90">
        <f>'Proventos (port)'!F100</f>
        <v>0.963453</v>
      </c>
      <c r="G99" s="89"/>
      <c r="H99" s="17"/>
      <c r="I99" s="89"/>
      <c r="J99" s="18"/>
      <c r="L99" s="19">
        <v>2010</v>
      </c>
      <c r="M99" s="19">
        <v>2010</v>
      </c>
    </row>
    <row r="100" spans="1:13" x14ac:dyDescent="0.35">
      <c r="A100" s="14" t="str">
        <f t="shared" si="5"/>
        <v>IOE</v>
      </c>
      <c r="B100" s="15" t="s">
        <v>42</v>
      </c>
      <c r="C100" s="56">
        <f>'Proventos (port)'!C101</f>
        <v>40459</v>
      </c>
      <c r="D100" s="56">
        <f>'Proventos (port)'!D101</f>
        <v>40476</v>
      </c>
      <c r="E100" s="89">
        <f>'Proventos (port)'!E101</f>
        <v>63719.889988878385</v>
      </c>
      <c r="F100" s="90">
        <f>'Proventos (port)'!F101</f>
        <v>0.419682</v>
      </c>
      <c r="G100" s="89"/>
      <c r="H100" s="17"/>
      <c r="I100" s="89"/>
      <c r="J100" s="18"/>
      <c r="L100" s="19">
        <v>2010</v>
      </c>
      <c r="M100" s="19">
        <v>2010</v>
      </c>
    </row>
    <row r="101" spans="1:13" x14ac:dyDescent="0.35">
      <c r="A101" s="14" t="str">
        <f t="shared" si="5"/>
        <v>IOE</v>
      </c>
      <c r="B101" s="15" t="s">
        <v>42</v>
      </c>
      <c r="C101" s="56">
        <f>'Proventos (port)'!C102</f>
        <v>40367</v>
      </c>
      <c r="D101" s="56">
        <f>'Proventos (port)'!D102</f>
        <v>40382</v>
      </c>
      <c r="E101" s="89">
        <f>'Proventos (port)'!E102</f>
        <v>62925.824423422077</v>
      </c>
      <c r="F101" s="90">
        <f>'Proventos (port)'!F102</f>
        <v>0.41445199999999999</v>
      </c>
      <c r="G101" s="89"/>
      <c r="H101" s="17"/>
      <c r="I101" s="89"/>
      <c r="J101" s="18"/>
      <c r="L101" s="19">
        <v>2010</v>
      </c>
      <c r="M101" s="19">
        <v>2010</v>
      </c>
    </row>
    <row r="102" spans="1:13" x14ac:dyDescent="0.35">
      <c r="A102" s="14" t="str">
        <f t="shared" si="5"/>
        <v>Dividends</v>
      </c>
      <c r="B102" s="15" t="s">
        <v>43</v>
      </c>
      <c r="C102" s="56">
        <f>'Proventos (port)'!C103</f>
        <v>40367</v>
      </c>
      <c r="D102" s="56">
        <f>'Proventos (port)'!D103</f>
        <v>40382</v>
      </c>
      <c r="E102" s="89">
        <f>'Proventos (port)'!E103</f>
        <v>63671.608373234965</v>
      </c>
      <c r="F102" s="90">
        <f>'Proventos (port)'!F103</f>
        <v>0.41936400000000001</v>
      </c>
      <c r="G102" s="89"/>
      <c r="H102" s="17"/>
      <c r="I102" s="89"/>
      <c r="J102" s="18"/>
      <c r="L102" s="19">
        <v>2010</v>
      </c>
      <c r="M102" s="19">
        <v>2010</v>
      </c>
    </row>
    <row r="103" spans="1:13" ht="16" thickBot="1" x14ac:dyDescent="0.4">
      <c r="A103" s="14"/>
      <c r="B103" s="15"/>
      <c r="C103" s="56"/>
      <c r="D103" s="56"/>
      <c r="E103" s="89"/>
      <c r="F103" s="90"/>
      <c r="G103" s="89"/>
      <c r="H103" s="17"/>
      <c r="I103" s="89"/>
      <c r="J103" s="18"/>
      <c r="L103" s="19"/>
      <c r="M103" s="19"/>
    </row>
    <row r="104" spans="1:13" ht="16" thickBot="1" x14ac:dyDescent="0.4">
      <c r="A104" s="14" t="str">
        <f t="shared" si="5"/>
        <v>2009</v>
      </c>
      <c r="B104" s="82">
        <v>2009</v>
      </c>
      <c r="C104" s="83"/>
      <c r="D104" s="83"/>
      <c r="E104" s="84">
        <f>SUM(E105:E114)</f>
        <v>845099.64981935092</v>
      </c>
      <c r="F104" s="85">
        <f>SUM(F105:F114)</f>
        <v>5.6169479999999989</v>
      </c>
      <c r="G104" s="84">
        <v>861975</v>
      </c>
      <c r="H104" s="8">
        <f>E104/(G104)</f>
        <v>0.98042245983856946</v>
      </c>
      <c r="I104" s="84">
        <f>G104</f>
        <v>861975</v>
      </c>
      <c r="J104" s="9">
        <f>E104/I104</f>
        <v>0.98042245983856946</v>
      </c>
      <c r="L104" s="19"/>
      <c r="M104" s="19"/>
    </row>
    <row r="105" spans="1:13" x14ac:dyDescent="0.35">
      <c r="A105" s="14" t="str">
        <f t="shared" si="5"/>
        <v>Dividends</v>
      </c>
      <c r="B105" s="15" t="s">
        <v>43</v>
      </c>
      <c r="C105" s="56">
        <f>'Proventos (port)'!C106</f>
        <v>40303</v>
      </c>
      <c r="D105" s="56">
        <f>'Proventos (port)'!D106</f>
        <v>40382</v>
      </c>
      <c r="E105" s="89">
        <f>'Proventos (port)'!E106</f>
        <v>77302.662369621539</v>
      </c>
      <c r="F105" s="90">
        <f>'Proventos (port)'!F106</f>
        <v>0.50914300000000001</v>
      </c>
      <c r="G105" s="89"/>
      <c r="H105" s="17"/>
      <c r="I105" s="89"/>
      <c r="J105" s="18"/>
      <c r="L105" s="19">
        <v>2010</v>
      </c>
      <c r="M105" s="19">
        <v>2009</v>
      </c>
    </row>
    <row r="106" spans="1:13" x14ac:dyDescent="0.35">
      <c r="A106" s="14" t="str">
        <f t="shared" si="5"/>
        <v>Dividends</v>
      </c>
      <c r="B106" s="15" t="s">
        <v>43</v>
      </c>
      <c r="C106" s="56">
        <f>'Proventos (port)'!C107</f>
        <v>40277</v>
      </c>
      <c r="D106" s="56">
        <f>'Proventos (port)'!D107</f>
        <v>40288</v>
      </c>
      <c r="E106" s="89">
        <f>'Proventos (port)'!E107</f>
        <v>129979.8546478683</v>
      </c>
      <c r="F106" s="90">
        <f>'Proventos (port)'!F107</f>
        <v>0.86275599999999997</v>
      </c>
      <c r="G106" s="89"/>
      <c r="H106" s="17"/>
      <c r="I106" s="89"/>
      <c r="J106" s="18"/>
      <c r="L106" s="19">
        <v>2010</v>
      </c>
      <c r="M106" s="19">
        <v>2009</v>
      </c>
    </row>
    <row r="107" spans="1:13" x14ac:dyDescent="0.35">
      <c r="A107" s="14" t="str">
        <f t="shared" si="5"/>
        <v>IOE</v>
      </c>
      <c r="B107" s="15" t="s">
        <v>42</v>
      </c>
      <c r="C107" s="56">
        <f>'Proventos (port)'!C108</f>
        <v>40277</v>
      </c>
      <c r="D107" s="56">
        <f>'Proventos (port)'!D108</f>
        <v>40288</v>
      </c>
      <c r="E107" s="89">
        <f>'Proventos (port)'!E108</f>
        <v>61920.149173095488</v>
      </c>
      <c r="F107" s="90">
        <f>'Proventos (port)'!F108</f>
        <v>0.41100199999999998</v>
      </c>
      <c r="G107" s="89"/>
      <c r="H107" s="17"/>
      <c r="I107" s="89"/>
      <c r="J107" s="18"/>
      <c r="L107" s="19">
        <v>2010</v>
      </c>
      <c r="M107" s="19">
        <v>2009</v>
      </c>
    </row>
    <row r="108" spans="1:13" x14ac:dyDescent="0.35">
      <c r="A108" s="14" t="str">
        <f t="shared" si="5"/>
        <v>Dividends</v>
      </c>
      <c r="B108" s="15" t="s">
        <v>43</v>
      </c>
      <c r="C108" s="56">
        <f>'Proventos (port)'!C109</f>
        <v>40190</v>
      </c>
      <c r="D108" s="56">
        <f>'Proventos (port)'!D109</f>
        <v>40200</v>
      </c>
      <c r="E108" s="89">
        <f>'Proventos (port)'!E109</f>
        <v>161000.04120350641</v>
      </c>
      <c r="F108" s="90">
        <f>'Proventos (port)'!F109</f>
        <v>1.0686560000000001</v>
      </c>
      <c r="G108" s="89"/>
      <c r="H108" s="17"/>
      <c r="I108" s="89"/>
      <c r="J108" s="18"/>
      <c r="L108" s="19">
        <v>2010</v>
      </c>
      <c r="M108" s="19">
        <v>2009</v>
      </c>
    </row>
    <row r="109" spans="1:13" x14ac:dyDescent="0.35">
      <c r="A109" s="14" t="str">
        <f t="shared" si="5"/>
        <v>IOE</v>
      </c>
      <c r="B109" s="15" t="s">
        <v>42</v>
      </c>
      <c r="C109" s="56">
        <f>'Proventos (port)'!C110</f>
        <v>40163</v>
      </c>
      <c r="D109" s="56">
        <f>'Proventos (port)'!D110</f>
        <v>40177</v>
      </c>
      <c r="E109" s="89">
        <f>'Proventos (port)'!E110</f>
        <v>61380.798673487989</v>
      </c>
      <c r="F109" s="90">
        <f>'Proventos (port)'!F110</f>
        <v>0.40742200000000001</v>
      </c>
      <c r="G109" s="89"/>
      <c r="H109" s="17"/>
      <c r="I109" s="89"/>
      <c r="J109" s="18"/>
      <c r="L109" s="19">
        <v>2009</v>
      </c>
      <c r="M109" s="19">
        <v>2009</v>
      </c>
    </row>
    <row r="110" spans="1:13" x14ac:dyDescent="0.35">
      <c r="A110" s="14" t="str">
        <f t="shared" si="5"/>
        <v>Dividends</v>
      </c>
      <c r="B110" s="15" t="s">
        <v>43</v>
      </c>
      <c r="C110" s="56">
        <f>'Proventos (port)'!C111</f>
        <v>40093</v>
      </c>
      <c r="D110" s="56">
        <f>'Proventos (port)'!D111</f>
        <v>40107</v>
      </c>
      <c r="E110" s="89">
        <f>'Proventos (port)'!E111</f>
        <v>103444.56334999998</v>
      </c>
      <c r="F110" s="90">
        <f>'Proventos (port)'!F111</f>
        <v>0.68662500000000004</v>
      </c>
      <c r="G110" s="89"/>
      <c r="H110" s="17"/>
      <c r="I110" s="89"/>
      <c r="J110" s="18"/>
      <c r="L110" s="19">
        <v>2009</v>
      </c>
      <c r="M110" s="19">
        <v>2009</v>
      </c>
    </row>
    <row r="111" spans="1:13" x14ac:dyDescent="0.35">
      <c r="A111" s="14" t="str">
        <f t="shared" si="5"/>
        <v>IOE</v>
      </c>
      <c r="B111" s="15" t="s">
        <v>42</v>
      </c>
      <c r="C111" s="56">
        <f>'Proventos (port)'!C112</f>
        <v>40093</v>
      </c>
      <c r="D111" s="56">
        <f>'Proventos (port)'!D112</f>
        <v>40107</v>
      </c>
      <c r="E111" s="89">
        <f>'Proventos (port)'!E112</f>
        <v>62055.438767689775</v>
      </c>
      <c r="F111" s="90">
        <f>'Proventos (port)'!F112</f>
        <v>0.41189999999999999</v>
      </c>
      <c r="G111" s="89"/>
      <c r="H111" s="17"/>
      <c r="I111" s="89"/>
      <c r="J111" s="18"/>
      <c r="L111" s="19">
        <v>2009</v>
      </c>
      <c r="M111" s="19">
        <v>2009</v>
      </c>
    </row>
    <row r="112" spans="1:13" x14ac:dyDescent="0.35">
      <c r="A112" s="14" t="str">
        <f t="shared" si="5"/>
        <v>Dividends</v>
      </c>
      <c r="B112" s="15" t="s">
        <v>43</v>
      </c>
      <c r="C112" s="56">
        <f>'Proventos (port)'!C113</f>
        <v>40001</v>
      </c>
      <c r="D112" s="56">
        <f>'Proventos (port)'!D113</f>
        <v>40015</v>
      </c>
      <c r="E112" s="89">
        <f>'Proventos (port)'!E113</f>
        <v>60842.161013877012</v>
      </c>
      <c r="F112" s="90">
        <f>'Proventos (port)'!F113</f>
        <v>0.407557</v>
      </c>
      <c r="G112" s="89"/>
      <c r="H112" s="17"/>
      <c r="I112" s="89"/>
      <c r="J112" s="18"/>
      <c r="L112" s="19">
        <v>2009</v>
      </c>
      <c r="M112" s="19">
        <v>2009</v>
      </c>
    </row>
    <row r="113" spans="1:13" x14ac:dyDescent="0.35">
      <c r="A113" s="14" t="str">
        <f t="shared" si="5"/>
        <v>IOE</v>
      </c>
      <c r="B113" s="15" t="s">
        <v>42</v>
      </c>
      <c r="C113" s="56">
        <f>'Proventos (port)'!C114</f>
        <v>39987</v>
      </c>
      <c r="D113" s="56">
        <f>'Proventos (port)'!D114</f>
        <v>39995</v>
      </c>
      <c r="E113" s="89">
        <f>'Proventos (port)'!E114</f>
        <v>63938.332640000008</v>
      </c>
      <c r="F113" s="90">
        <f>'Proventos (port)'!F114</f>
        <v>0.42829699999999998</v>
      </c>
      <c r="G113" s="89"/>
      <c r="H113" s="17"/>
      <c r="I113" s="89"/>
      <c r="J113" s="18"/>
      <c r="L113" s="19">
        <v>2009</v>
      </c>
      <c r="M113" s="19">
        <v>2009</v>
      </c>
    </row>
    <row r="114" spans="1:13" x14ac:dyDescent="0.35">
      <c r="A114" s="14" t="str">
        <f t="shared" si="5"/>
        <v>IOE</v>
      </c>
      <c r="B114" s="15" t="s">
        <v>42</v>
      </c>
      <c r="C114" s="56">
        <f>'Proventos (port)'!C115</f>
        <v>39917</v>
      </c>
      <c r="D114" s="56">
        <f>'Proventos (port)'!D115</f>
        <v>39927</v>
      </c>
      <c r="E114" s="89">
        <f>'Proventos (port)'!E115</f>
        <v>63235.647980204405</v>
      </c>
      <c r="F114" s="90">
        <f>'Proventos (port)'!F115</f>
        <v>0.42359000000000002</v>
      </c>
      <c r="G114" s="89"/>
      <c r="H114" s="17"/>
      <c r="I114" s="89"/>
      <c r="J114" s="18"/>
      <c r="L114" s="19">
        <v>2009</v>
      </c>
      <c r="M114" s="19">
        <v>2009</v>
      </c>
    </row>
    <row r="115" spans="1:13" ht="16" thickBot="1" x14ac:dyDescent="0.4">
      <c r="A115" s="14"/>
      <c r="B115" s="15"/>
      <c r="C115" s="56"/>
      <c r="D115" s="56"/>
      <c r="E115" s="89"/>
      <c r="F115" s="90"/>
      <c r="G115" s="89"/>
      <c r="H115" s="17"/>
      <c r="I115" s="89"/>
      <c r="J115" s="18"/>
      <c r="L115" s="19"/>
      <c r="M115" s="19"/>
    </row>
    <row r="116" spans="1:13" ht="16" thickBot="1" x14ac:dyDescent="0.4">
      <c r="A116" s="14" t="str">
        <f t="shared" si="5"/>
        <v>2008</v>
      </c>
      <c r="B116" s="82">
        <v>2008</v>
      </c>
      <c r="C116" s="83"/>
      <c r="D116" s="83"/>
      <c r="E116" s="84">
        <f>SUM(E117:E125)</f>
        <v>734900.96749106969</v>
      </c>
      <c r="F116" s="85">
        <f>SUM(F117:F125)</f>
        <v>4.9228040000000002</v>
      </c>
      <c r="G116" s="84">
        <v>827065</v>
      </c>
      <c r="H116" s="8">
        <f>E116/(G116)</f>
        <v>0.88856494651698437</v>
      </c>
      <c r="I116" s="84">
        <f>G116</f>
        <v>827065</v>
      </c>
      <c r="J116" s="9">
        <f>E116/I116</f>
        <v>0.88856494651698437</v>
      </c>
      <c r="L116" s="19"/>
      <c r="M116" s="19"/>
    </row>
    <row r="117" spans="1:13" x14ac:dyDescent="0.35">
      <c r="A117" s="14" t="str">
        <f t="shared" si="5"/>
        <v>Dividends</v>
      </c>
      <c r="B117" s="15" t="s">
        <v>43</v>
      </c>
      <c r="C117" s="56">
        <f>'Proventos (port)'!C118</f>
        <v>39919</v>
      </c>
      <c r="D117" s="56">
        <f>'Proventos (port)'!D118</f>
        <v>39927</v>
      </c>
      <c r="E117" s="89">
        <f>'Proventos (port)'!E118</f>
        <v>105890.71174879157</v>
      </c>
      <c r="F117" s="90">
        <f>'Proventos (port)'!F118</f>
        <v>0.70931900000000003</v>
      </c>
      <c r="G117" s="89"/>
      <c r="H117" s="17"/>
      <c r="I117" s="89"/>
      <c r="J117" s="18"/>
      <c r="L117" s="19">
        <v>2009</v>
      </c>
      <c r="M117" s="19">
        <v>2008</v>
      </c>
    </row>
    <row r="118" spans="1:13" x14ac:dyDescent="0.35">
      <c r="A118" s="14" t="str">
        <f t="shared" si="5"/>
        <v>Dividends</v>
      </c>
      <c r="B118" s="15" t="s">
        <v>43</v>
      </c>
      <c r="C118" s="56">
        <f>'Proventos (port)'!C119</f>
        <v>39826</v>
      </c>
      <c r="D118" s="56">
        <f>'Proventos (port)'!D119</f>
        <v>39833</v>
      </c>
      <c r="E118" s="89">
        <f>'Proventos (port)'!E119</f>
        <v>122500.0154590528</v>
      </c>
      <c r="F118" s="90">
        <f>'Proventos (port)'!F119</f>
        <v>0.82057800000000003</v>
      </c>
      <c r="G118" s="89"/>
      <c r="H118" s="17"/>
      <c r="I118" s="89"/>
      <c r="J118" s="18"/>
      <c r="L118" s="19">
        <v>2009</v>
      </c>
      <c r="M118" s="19">
        <v>2008</v>
      </c>
    </row>
    <row r="119" spans="1:13" x14ac:dyDescent="0.35">
      <c r="A119" s="14" t="str">
        <f t="shared" si="5"/>
        <v>IOE</v>
      </c>
      <c r="B119" s="15" t="s">
        <v>42</v>
      </c>
      <c r="C119" s="56">
        <f>'Proventos (port)'!C120</f>
        <v>39797</v>
      </c>
      <c r="D119" s="56">
        <f>'Proventos (port)'!D120</f>
        <v>39812</v>
      </c>
      <c r="E119" s="89">
        <f>'Proventos (port)'!E120</f>
        <v>59667.735643447435</v>
      </c>
      <c r="F119" s="90">
        <f>'Proventos (port)'!F120</f>
        <v>0.39968999999999999</v>
      </c>
      <c r="G119" s="89"/>
      <c r="H119" s="17"/>
      <c r="I119" s="89"/>
      <c r="J119" s="18"/>
      <c r="L119" s="19">
        <v>2008</v>
      </c>
      <c r="M119" s="19">
        <v>2008</v>
      </c>
    </row>
    <row r="120" spans="1:13" x14ac:dyDescent="0.35">
      <c r="A120" s="14" t="str">
        <f t="shared" si="5"/>
        <v>Dividends</v>
      </c>
      <c r="B120" s="15" t="s">
        <v>43</v>
      </c>
      <c r="C120" s="56">
        <f>'Proventos (port)'!C121</f>
        <v>39731</v>
      </c>
      <c r="D120" s="56">
        <f>'Proventos (port)'!D121</f>
        <v>39738</v>
      </c>
      <c r="E120" s="89">
        <f>'Proventos (port)'!E121</f>
        <v>54611.899362738302</v>
      </c>
      <c r="F120" s="90">
        <f>'Proventos (port)'!F121</f>
        <v>0.36582300000000001</v>
      </c>
      <c r="G120" s="89"/>
      <c r="H120" s="17"/>
      <c r="I120" s="89"/>
      <c r="J120" s="18"/>
      <c r="L120" s="19">
        <v>2008</v>
      </c>
      <c r="M120" s="19">
        <v>2008</v>
      </c>
    </row>
    <row r="121" spans="1:13" x14ac:dyDescent="0.35">
      <c r="A121" s="14" t="str">
        <f t="shared" si="5"/>
        <v>IOE</v>
      </c>
      <c r="B121" s="15" t="s">
        <v>42</v>
      </c>
      <c r="C121" s="56">
        <f>'Proventos (port)'!C122</f>
        <v>39731</v>
      </c>
      <c r="D121" s="56">
        <f>'Proventos (port)'!D122</f>
        <v>39738</v>
      </c>
      <c r="E121" s="89">
        <f>'Proventos (port)'!E122</f>
        <v>60388.185222409331</v>
      </c>
      <c r="F121" s="90">
        <f>'Proventos (port)'!F122</f>
        <v>0.40451599999999999</v>
      </c>
      <c r="G121" s="89"/>
      <c r="H121" s="17"/>
      <c r="I121" s="89"/>
      <c r="J121" s="18"/>
      <c r="L121" s="19">
        <v>2008</v>
      </c>
      <c r="M121" s="19">
        <v>2008</v>
      </c>
    </row>
    <row r="122" spans="1:13" x14ac:dyDescent="0.35">
      <c r="A122" s="14" t="str">
        <f t="shared" si="5"/>
        <v>Dividends</v>
      </c>
      <c r="B122" s="15" t="s">
        <v>43</v>
      </c>
      <c r="C122" s="56">
        <f>'Proventos (port)'!C123</f>
        <v>39639</v>
      </c>
      <c r="D122" s="56">
        <f>'Proventos (port)'!D123</f>
        <v>39646</v>
      </c>
      <c r="E122" s="89">
        <f>'Proventos (port)'!E123</f>
        <v>145000.10665083831</v>
      </c>
      <c r="F122" s="90">
        <f>'Proventos (port)'!F123</f>
        <v>0.97129699999999997</v>
      </c>
      <c r="G122" s="89"/>
      <c r="H122" s="17"/>
      <c r="I122" s="89"/>
      <c r="J122" s="18"/>
      <c r="L122" s="19">
        <v>2008</v>
      </c>
      <c r="M122" s="19">
        <v>2008</v>
      </c>
    </row>
    <row r="123" spans="1:13" x14ac:dyDescent="0.35">
      <c r="A123" s="14" t="str">
        <f t="shared" si="5"/>
        <v>IOE</v>
      </c>
      <c r="B123" s="15" t="s">
        <v>42</v>
      </c>
      <c r="C123" s="56">
        <f>'Proventos (port)'!C124</f>
        <v>39639</v>
      </c>
      <c r="D123" s="56">
        <f>'Proventos (port)'!D124</f>
        <v>39646</v>
      </c>
      <c r="E123" s="89">
        <f>'Proventos (port)'!E124</f>
        <v>58311.331815339749</v>
      </c>
      <c r="F123" s="90">
        <f>'Proventos (port)'!F124</f>
        <v>0.39060400000000001</v>
      </c>
      <c r="G123" s="89"/>
      <c r="H123" s="17"/>
      <c r="I123" s="89"/>
      <c r="J123" s="18"/>
      <c r="L123" s="19">
        <v>2008</v>
      </c>
      <c r="M123" s="19">
        <v>2008</v>
      </c>
    </row>
    <row r="124" spans="1:13" x14ac:dyDescent="0.35">
      <c r="A124" s="14" t="str">
        <f t="shared" si="5"/>
        <v>Dividends</v>
      </c>
      <c r="B124" s="15" t="s">
        <v>43</v>
      </c>
      <c r="C124" s="56">
        <f>'Proventos (port)'!C125</f>
        <v>39549</v>
      </c>
      <c r="D124" s="56">
        <f>'Proventos (port)'!D125</f>
        <v>39556</v>
      </c>
      <c r="E124" s="89">
        <f>'Proventos (port)'!E125</f>
        <v>67000.019423035526</v>
      </c>
      <c r="F124" s="90">
        <f>'Proventos (port)'!F125</f>
        <v>0.44880599999999998</v>
      </c>
      <c r="G124" s="89"/>
      <c r="H124" s="17"/>
      <c r="I124" s="89"/>
      <c r="J124" s="18"/>
      <c r="L124" s="19">
        <v>2008</v>
      </c>
      <c r="M124" s="19">
        <v>2008</v>
      </c>
    </row>
    <row r="125" spans="1:13" x14ac:dyDescent="0.35">
      <c r="A125" s="14" t="str">
        <f t="shared" si="5"/>
        <v>IOE</v>
      </c>
      <c r="B125" s="15" t="s">
        <v>42</v>
      </c>
      <c r="C125" s="56">
        <f>'Proventos (port)'!C126</f>
        <v>39539</v>
      </c>
      <c r="D125" s="56">
        <f>'Proventos (port)'!D126</f>
        <v>39556</v>
      </c>
      <c r="E125" s="89">
        <f>'Proventos (port)'!E126</f>
        <v>61530.962165416633</v>
      </c>
      <c r="F125" s="90">
        <f>'Proventos (port)'!F126</f>
        <v>0.41217100000000001</v>
      </c>
      <c r="G125" s="89"/>
      <c r="H125" s="17"/>
      <c r="I125" s="89"/>
      <c r="J125" s="18"/>
      <c r="L125" s="19">
        <v>2008</v>
      </c>
      <c r="M125" s="19">
        <v>2008</v>
      </c>
    </row>
    <row r="126" spans="1:13" ht="16" thickBot="1" x14ac:dyDescent="0.4">
      <c r="A126" s="14"/>
      <c r="B126" s="15"/>
      <c r="C126" s="56"/>
      <c r="D126" s="56"/>
      <c r="E126" s="89"/>
      <c r="F126" s="90"/>
      <c r="G126" s="89"/>
      <c r="H126" s="17"/>
      <c r="I126" s="89"/>
      <c r="J126" s="18"/>
      <c r="L126" s="19"/>
      <c r="M126" s="19"/>
    </row>
    <row r="127" spans="1:13" ht="16" thickBot="1" x14ac:dyDescent="0.4">
      <c r="A127" s="14" t="str">
        <f t="shared" si="5"/>
        <v>2007</v>
      </c>
      <c r="B127" s="82">
        <v>2007</v>
      </c>
      <c r="C127" s="83"/>
      <c r="D127" s="83"/>
      <c r="E127" s="84">
        <f>SUM(E128:E134)</f>
        <v>907495.96500854043</v>
      </c>
      <c r="F127" s="85">
        <f>SUM(F128:F134)</f>
        <v>6.0789480000000005</v>
      </c>
      <c r="G127" s="84">
        <v>855483</v>
      </c>
      <c r="H127" s="8">
        <f>E127/(G127)</f>
        <v>1.0607995308013607</v>
      </c>
      <c r="I127" s="84">
        <f>G127</f>
        <v>855483</v>
      </c>
      <c r="J127" s="9">
        <f>E127/I127</f>
        <v>1.0607995308013607</v>
      </c>
      <c r="L127" s="19"/>
      <c r="M127" s="19"/>
    </row>
    <row r="128" spans="1:13" x14ac:dyDescent="0.35">
      <c r="A128" s="14" t="str">
        <f t="shared" si="5"/>
        <v>Dividends</v>
      </c>
      <c r="B128" s="15" t="s">
        <v>43</v>
      </c>
      <c r="C128" s="56">
        <f>'Proventos (port)'!C129</f>
        <v>39469</v>
      </c>
      <c r="D128" s="56">
        <f>'Proventos (port)'!D129</f>
        <v>39489</v>
      </c>
      <c r="E128" s="89">
        <f>'Proventos (port)'!E129</f>
        <v>170000.12503891392</v>
      </c>
      <c r="F128" s="90">
        <f>'Proventos (port)'!F129</f>
        <v>1.1387620000000001</v>
      </c>
      <c r="G128" s="89"/>
      <c r="H128" s="17"/>
      <c r="I128" s="89"/>
      <c r="J128" s="18"/>
      <c r="L128" s="19">
        <v>2008</v>
      </c>
      <c r="M128" s="19">
        <v>2007</v>
      </c>
    </row>
    <row r="129" spans="1:13" x14ac:dyDescent="0.35">
      <c r="A129" s="14" t="str">
        <f t="shared" si="5"/>
        <v>IOE</v>
      </c>
      <c r="B129" s="15" t="s">
        <v>42</v>
      </c>
      <c r="C129" s="56">
        <f>'Proventos (port)'!C130</f>
        <v>39429</v>
      </c>
      <c r="D129" s="56">
        <f>'Proventos (port)'!D130</f>
        <v>39465</v>
      </c>
      <c r="E129" s="89">
        <f>'Proventos (port)'!E130</f>
        <v>39122.531985127716</v>
      </c>
      <c r="F129" s="90">
        <f>'Proventos (port)'!F130</f>
        <v>0.26206600000000002</v>
      </c>
      <c r="G129" s="89"/>
      <c r="H129" s="17"/>
      <c r="I129" s="89"/>
      <c r="J129" s="18"/>
      <c r="L129" s="19">
        <v>2008</v>
      </c>
      <c r="M129" s="19">
        <v>2007</v>
      </c>
    </row>
    <row r="130" spans="1:13" x14ac:dyDescent="0.35">
      <c r="A130" s="14" t="str">
        <f t="shared" si="5"/>
        <v>IOE</v>
      </c>
      <c r="B130" s="15" t="s">
        <v>42</v>
      </c>
      <c r="C130" s="56">
        <f>'Proventos (port)'!C131</f>
        <v>39392</v>
      </c>
      <c r="D130" s="56">
        <f>'Proventos (port)'!D131</f>
        <v>39405</v>
      </c>
      <c r="E130" s="89">
        <f>'Proventos (port)'!E131</f>
        <v>199614.84242924183</v>
      </c>
      <c r="F130" s="90">
        <f>'Proventos (port)'!F131</f>
        <v>1.3371390000000001</v>
      </c>
      <c r="G130" s="89"/>
      <c r="H130" s="17"/>
      <c r="I130" s="89"/>
      <c r="J130" s="18"/>
      <c r="L130" s="19">
        <v>2007</v>
      </c>
      <c r="M130" s="19">
        <v>2007</v>
      </c>
    </row>
    <row r="131" spans="1:13" x14ac:dyDescent="0.35">
      <c r="A131" s="14" t="str">
        <f t="shared" si="5"/>
        <v>Dividends</v>
      </c>
      <c r="B131" s="15" t="s">
        <v>43</v>
      </c>
      <c r="C131" s="56">
        <f>'Proventos (port)'!C132</f>
        <v>39357</v>
      </c>
      <c r="D131" s="56">
        <f>'Proventos (port)'!D132</f>
        <v>39405</v>
      </c>
      <c r="E131" s="89">
        <f>'Proventos (port)'!E132</f>
        <v>13347.127125206298</v>
      </c>
      <c r="F131" s="90">
        <f>'Proventos (port)'!F132</f>
        <v>8.9407E-2</v>
      </c>
      <c r="G131" s="89"/>
      <c r="H131" s="17"/>
      <c r="I131" s="89"/>
      <c r="J131" s="18"/>
      <c r="L131" s="19">
        <v>2007</v>
      </c>
      <c r="M131" s="19">
        <v>2007</v>
      </c>
    </row>
    <row r="132" spans="1:13" x14ac:dyDescent="0.35">
      <c r="A132" s="14" t="str">
        <f t="shared" si="5"/>
        <v>Dividends</v>
      </c>
      <c r="B132" s="15" t="s">
        <v>43</v>
      </c>
      <c r="C132" s="56">
        <f>'Proventos (port)'!C133</f>
        <v>39357</v>
      </c>
      <c r="D132" s="56">
        <f>'Proventos (port)'!D133</f>
        <v>39372</v>
      </c>
      <c r="E132" s="89">
        <f>'Proventos (port)'!E133</f>
        <v>160164.33122219547</v>
      </c>
      <c r="F132" s="90">
        <f>'Proventos (port)'!F133</f>
        <v>1.0728759999999999</v>
      </c>
      <c r="G132" s="89"/>
      <c r="H132" s="17"/>
      <c r="I132" s="89"/>
      <c r="J132" s="18"/>
      <c r="L132" s="19">
        <v>2007</v>
      </c>
      <c r="M132" s="19">
        <v>2007</v>
      </c>
    </row>
    <row r="133" spans="1:13" x14ac:dyDescent="0.35">
      <c r="A133" s="14" t="str">
        <f t="shared" si="5"/>
        <v>Dividends</v>
      </c>
      <c r="B133" s="15" t="s">
        <v>43</v>
      </c>
      <c r="C133" s="56">
        <f>'Proventos (port)'!C134</f>
        <v>39274</v>
      </c>
      <c r="D133" s="56">
        <f>'Proventos (port)'!D134</f>
        <v>39281</v>
      </c>
      <c r="E133" s="89">
        <f>'Proventos (port)'!E134</f>
        <v>240246.94468839827</v>
      </c>
      <c r="F133" s="90">
        <f>'Proventos (port)'!F134</f>
        <v>1.6093170000000001</v>
      </c>
      <c r="G133" s="89"/>
      <c r="H133" s="17"/>
      <c r="I133" s="89"/>
      <c r="J133" s="18"/>
      <c r="L133" s="19">
        <v>2007</v>
      </c>
      <c r="M133" s="19">
        <v>2007</v>
      </c>
    </row>
    <row r="134" spans="1:13" x14ac:dyDescent="0.35">
      <c r="A134" s="14" t="str">
        <f t="shared" si="5"/>
        <v>Dividends</v>
      </c>
      <c r="B134" s="15" t="s">
        <v>43</v>
      </c>
      <c r="C134" s="56">
        <f>'Proventos (port)'!C135</f>
        <v>39161</v>
      </c>
      <c r="D134" s="56">
        <f>'Proventos (port)'!D135</f>
        <v>39168</v>
      </c>
      <c r="E134" s="89">
        <f>'Proventos (port)'!E135</f>
        <v>85000.062519456958</v>
      </c>
      <c r="F134" s="90">
        <f>'Proventos (port)'!F135</f>
        <v>0.56938100000000003</v>
      </c>
      <c r="G134" s="89"/>
      <c r="H134" s="17"/>
      <c r="I134" s="89"/>
      <c r="J134" s="18"/>
      <c r="L134" s="19">
        <v>2007</v>
      </c>
      <c r="M134" s="19">
        <v>2007</v>
      </c>
    </row>
    <row r="135" spans="1:13" ht="16" thickBot="1" x14ac:dyDescent="0.4">
      <c r="A135" s="14"/>
      <c r="B135" s="15"/>
      <c r="C135" s="56"/>
      <c r="D135" s="56"/>
      <c r="E135" s="89"/>
      <c r="F135" s="90"/>
      <c r="G135" s="89"/>
      <c r="H135" s="17"/>
      <c r="I135" s="89"/>
      <c r="J135" s="18"/>
      <c r="L135" s="19"/>
      <c r="M135" s="19"/>
    </row>
    <row r="136" spans="1:13" ht="16" thickBot="1" x14ac:dyDescent="0.4">
      <c r="A136" s="14" t="str">
        <f t="shared" si="5"/>
        <v>2006</v>
      </c>
      <c r="B136" s="82">
        <v>2006</v>
      </c>
      <c r="C136" s="83"/>
      <c r="D136" s="83"/>
      <c r="E136" s="84">
        <f>SUM(E137:E139)</f>
        <v>185075.52501443966</v>
      </c>
      <c r="F136" s="85">
        <f>SUM(F137:F139)</f>
        <v>1.239746</v>
      </c>
      <c r="G136" s="84">
        <v>117752</v>
      </c>
      <c r="H136" s="8">
        <f>E136/(G136)</f>
        <v>1.5717399705689896</v>
      </c>
      <c r="I136" s="84">
        <f>G136</f>
        <v>117752</v>
      </c>
      <c r="J136" s="9">
        <f>E136/I136</f>
        <v>1.5717399705689896</v>
      </c>
      <c r="L136" s="19"/>
      <c r="M136" s="19"/>
    </row>
    <row r="137" spans="1:13" x14ac:dyDescent="0.35">
      <c r="A137" s="14" t="str">
        <f t="shared" si="5"/>
        <v>Dividends</v>
      </c>
      <c r="B137" s="15" t="s">
        <v>43</v>
      </c>
      <c r="C137" s="56">
        <f>'Proventos (port)'!C138</f>
        <v>39161</v>
      </c>
      <c r="D137" s="56">
        <f>'Proventos (port)'!D138</f>
        <v>39168</v>
      </c>
      <c r="E137" s="89">
        <f>'Proventos (port)'!E138</f>
        <v>60598.527836739471</v>
      </c>
      <c r="F137" s="90">
        <f>'Proventos (port)'!F138</f>
        <v>0.40592499999999998</v>
      </c>
      <c r="G137" s="89"/>
      <c r="H137" s="17"/>
      <c r="I137" s="89"/>
      <c r="J137" s="18"/>
      <c r="L137" s="19">
        <v>2007</v>
      </c>
      <c r="M137" s="19">
        <v>2006</v>
      </c>
    </row>
    <row r="138" spans="1:13" x14ac:dyDescent="0.35">
      <c r="A138" s="14" t="str">
        <f t="shared" si="5"/>
        <v>IOE</v>
      </c>
      <c r="B138" s="15" t="s">
        <v>42</v>
      </c>
      <c r="C138" s="56">
        <f>'Proventos (port)'!C139</f>
        <v>38863</v>
      </c>
      <c r="D138" s="56">
        <f>'Proventos (port)'!D139</f>
        <v>39168</v>
      </c>
      <c r="E138" s="89">
        <f>'Proventos (port)'!E139</f>
        <v>27177.042053637368</v>
      </c>
      <c r="F138" s="90">
        <f>'Proventos (port)'!F139</f>
        <v>0.18204799999999999</v>
      </c>
      <c r="G138" s="89"/>
      <c r="H138" s="17"/>
      <c r="I138" s="89"/>
      <c r="J138" s="18"/>
      <c r="L138" s="19">
        <v>2007</v>
      </c>
      <c r="M138" s="19">
        <v>2006</v>
      </c>
    </row>
    <row r="139" spans="1:13" x14ac:dyDescent="0.35">
      <c r="A139" s="14" t="str">
        <f t="shared" si="5"/>
        <v>Dividends</v>
      </c>
      <c r="B139" s="15" t="s">
        <v>43</v>
      </c>
      <c r="C139" s="56">
        <f>'Proventos (port)'!C140</f>
        <v>38828</v>
      </c>
      <c r="D139" s="56">
        <f>'Proventos (port)'!D140</f>
        <v>38887</v>
      </c>
      <c r="E139" s="89">
        <f>'Proventos (port)'!E140</f>
        <v>97299.955124062821</v>
      </c>
      <c r="F139" s="90">
        <f>'Proventos (port)'!F140</f>
        <v>0.65177300000000005</v>
      </c>
      <c r="G139" s="89"/>
      <c r="H139" s="17"/>
      <c r="I139" s="89"/>
      <c r="J139" s="18"/>
      <c r="L139" s="19">
        <v>2006</v>
      </c>
      <c r="M139" s="19">
        <v>2006</v>
      </c>
    </row>
    <row r="140" spans="1:13" ht="16" thickBot="1" x14ac:dyDescent="0.4">
      <c r="A140" s="14"/>
      <c r="B140" s="15"/>
      <c r="C140" s="56"/>
      <c r="D140" s="56"/>
      <c r="E140" s="89"/>
      <c r="F140" s="90"/>
      <c r="G140" s="89"/>
      <c r="H140" s="17"/>
      <c r="I140" s="89"/>
      <c r="J140" s="18"/>
      <c r="L140" s="19"/>
      <c r="M140" s="19"/>
    </row>
    <row r="141" spans="1:13" ht="16" thickBot="1" x14ac:dyDescent="0.4">
      <c r="A141" s="14" t="str">
        <f t="shared" si="5"/>
        <v>2005</v>
      </c>
      <c r="B141" s="82">
        <v>2005</v>
      </c>
      <c r="C141" s="83"/>
      <c r="D141" s="83"/>
      <c r="E141" s="84">
        <f>SUM(E142:E144)</f>
        <v>239353.77232392895</v>
      </c>
      <c r="F141" s="85">
        <f>SUM(F142:F144)</f>
        <v>1.603334</v>
      </c>
      <c r="G141" s="84">
        <v>468277</v>
      </c>
      <c r="H141" s="8">
        <f>E141/(G141)</f>
        <v>0.51113715242031732</v>
      </c>
      <c r="I141" s="84">
        <f>G141</f>
        <v>468277</v>
      </c>
      <c r="J141" s="9">
        <f>E141/I141</f>
        <v>0.51113715242031732</v>
      </c>
      <c r="L141" s="19"/>
      <c r="M141" s="19"/>
    </row>
    <row r="142" spans="1:13" x14ac:dyDescent="0.35">
      <c r="A142" s="14" t="str">
        <f t="shared" si="5"/>
        <v>IOE</v>
      </c>
      <c r="B142" s="15" t="s">
        <v>42</v>
      </c>
      <c r="C142" s="56">
        <f>'Proventos (port)'!C143</f>
        <v>38715</v>
      </c>
      <c r="D142" s="56">
        <f>'Proventos (port)'!D143</f>
        <v>38730</v>
      </c>
      <c r="E142" s="89">
        <f>'Proventos (port)'!E143</f>
        <v>89999.91691203705</v>
      </c>
      <c r="F142" s="90">
        <f>'Proventos (port)'!F143</f>
        <v>0.60287299999999999</v>
      </c>
      <c r="G142" s="89"/>
      <c r="H142" s="17"/>
      <c r="I142" s="89"/>
      <c r="J142" s="18"/>
      <c r="L142" s="19">
        <v>2006</v>
      </c>
      <c r="M142" s="19">
        <v>2005</v>
      </c>
    </row>
    <row r="143" spans="1:13" x14ac:dyDescent="0.35">
      <c r="A143" s="14" t="str">
        <f t="shared" si="5"/>
        <v>IOE</v>
      </c>
      <c r="B143" s="15" t="s">
        <v>42</v>
      </c>
      <c r="C143" s="56">
        <f>'Proventos (port)'!C144</f>
        <v>38618</v>
      </c>
      <c r="D143" s="56">
        <f>'Proventos (port)'!D144</f>
        <v>38632</v>
      </c>
      <c r="E143" s="89">
        <f>'Proventos (port)'!E144</f>
        <v>94999.92058965216</v>
      </c>
      <c r="F143" s="90">
        <f>'Proventos (port)'!F144</f>
        <v>0.63636599999999999</v>
      </c>
      <c r="G143" s="89"/>
      <c r="H143" s="17"/>
      <c r="I143" s="89"/>
      <c r="J143" s="18"/>
      <c r="L143" s="19">
        <v>2005</v>
      </c>
      <c r="M143" s="19">
        <v>2005</v>
      </c>
    </row>
    <row r="144" spans="1:13" x14ac:dyDescent="0.35">
      <c r="A144" s="14" t="str">
        <f t="shared" si="5"/>
        <v>IOE</v>
      </c>
      <c r="B144" s="15" t="s">
        <v>42</v>
      </c>
      <c r="C144" s="56">
        <f>'Proventos (port)'!C145</f>
        <v>38527</v>
      </c>
      <c r="D144" s="56">
        <f>'Proventos (port)'!D145</f>
        <v>38687</v>
      </c>
      <c r="E144" s="89">
        <f>'Proventos (port)'!E145</f>
        <v>54353.934822239724</v>
      </c>
      <c r="F144" s="90">
        <f>'Proventos (port)'!F145</f>
        <v>0.364095</v>
      </c>
      <c r="G144" s="89"/>
      <c r="H144" s="17"/>
      <c r="I144" s="89"/>
      <c r="J144" s="18"/>
      <c r="L144" s="19">
        <v>2005</v>
      </c>
      <c r="M144" s="19">
        <v>2005</v>
      </c>
    </row>
    <row r="145" spans="1:13" ht="16" thickBot="1" x14ac:dyDescent="0.4">
      <c r="A145" s="14"/>
      <c r="B145" s="15"/>
      <c r="C145" s="56"/>
      <c r="D145" s="56"/>
      <c r="E145" s="89"/>
      <c r="F145" s="90"/>
      <c r="G145" s="89"/>
      <c r="H145" s="17"/>
      <c r="I145" s="89"/>
      <c r="J145" s="18"/>
      <c r="L145" s="19"/>
      <c r="M145" s="19"/>
    </row>
    <row r="146" spans="1:13" ht="16" thickBot="1" x14ac:dyDescent="0.4">
      <c r="A146" s="14" t="str">
        <f t="shared" si="5"/>
        <v>2004</v>
      </c>
      <c r="B146" s="82">
        <v>2004</v>
      </c>
      <c r="C146" s="83"/>
      <c r="D146" s="83"/>
      <c r="E146" s="84">
        <f>SUM(E147)</f>
        <v>74999.995450212722</v>
      </c>
      <c r="F146" s="85">
        <f>SUM(F147)</f>
        <v>0.50239460000000002</v>
      </c>
      <c r="G146" s="84">
        <v>348778</v>
      </c>
      <c r="H146" s="8">
        <f>E146/(G146)</f>
        <v>0.21503648581680243</v>
      </c>
      <c r="I146" s="84">
        <f>G146</f>
        <v>348778</v>
      </c>
      <c r="J146" s="9">
        <f>E146/I146</f>
        <v>0.21503648581680243</v>
      </c>
      <c r="L146" s="19"/>
      <c r="M146" s="19"/>
    </row>
    <row r="147" spans="1:13" x14ac:dyDescent="0.35">
      <c r="A147" s="14" t="str">
        <f t="shared" si="5"/>
        <v>IOE</v>
      </c>
      <c r="B147" s="15" t="s">
        <v>42</v>
      </c>
      <c r="C147" s="56">
        <f>'Proventos (port)'!C148</f>
        <v>38324</v>
      </c>
      <c r="D147" s="56">
        <f>'Proventos (port)'!D148</f>
        <v>38526</v>
      </c>
      <c r="E147" s="89">
        <f>'Proventos (port)'!E148</f>
        <v>74999.995450212722</v>
      </c>
      <c r="F147" s="90">
        <f>'Proventos (port)'!F148</f>
        <v>0.50239460000000002</v>
      </c>
      <c r="G147" s="89"/>
      <c r="H147" s="17"/>
      <c r="I147" s="89"/>
      <c r="J147" s="18"/>
      <c r="L147" s="19">
        <v>2005</v>
      </c>
      <c r="M147" s="19">
        <v>2004</v>
      </c>
    </row>
    <row r="148" spans="1:13" ht="16" thickBot="1" x14ac:dyDescent="0.4">
      <c r="A148" s="14"/>
      <c r="B148" s="15"/>
      <c r="C148" s="56"/>
      <c r="D148" s="56"/>
      <c r="E148" s="89"/>
      <c r="F148" s="90"/>
      <c r="G148" s="89"/>
      <c r="H148" s="17"/>
      <c r="I148" s="89"/>
      <c r="J148" s="18"/>
      <c r="L148" s="19"/>
      <c r="M148" s="19"/>
    </row>
    <row r="149" spans="1:13" ht="16" thickBot="1" x14ac:dyDescent="0.4">
      <c r="A149" s="14" t="str">
        <f t="shared" si="5"/>
        <v>2003</v>
      </c>
      <c r="B149" s="82">
        <v>2003</v>
      </c>
      <c r="C149" s="83"/>
      <c r="D149" s="83"/>
      <c r="E149" s="84">
        <f>SUM(E150)</f>
        <v>147248.99613225434</v>
      </c>
      <c r="F149" s="85">
        <f>SUM(F150)</f>
        <v>0.98636140000000005</v>
      </c>
      <c r="G149" s="84">
        <v>222376</v>
      </c>
      <c r="H149" s="8">
        <f>E149/(G149)</f>
        <v>0.66216226630686015</v>
      </c>
      <c r="I149" s="84">
        <f>G149</f>
        <v>222376</v>
      </c>
      <c r="J149" s="9">
        <f>E149/I149</f>
        <v>0.66216226630686015</v>
      </c>
      <c r="L149" s="19"/>
      <c r="M149" s="19"/>
    </row>
    <row r="150" spans="1:13" x14ac:dyDescent="0.35">
      <c r="A150" s="14" t="str">
        <f t="shared" si="5"/>
        <v>IOE</v>
      </c>
      <c r="B150" s="15" t="s">
        <v>42</v>
      </c>
      <c r="C150" s="56">
        <f>'Proventos (port)'!C151</f>
        <v>37883</v>
      </c>
      <c r="D150" s="56">
        <f>'Proventos (port)'!D151</f>
        <v>38159</v>
      </c>
      <c r="E150" s="89">
        <f>'Proventos (port)'!E151</f>
        <v>147248.99613225434</v>
      </c>
      <c r="F150" s="90">
        <f>'Proventos (port)'!F151</f>
        <v>0.98636140000000005</v>
      </c>
      <c r="G150" s="89"/>
      <c r="H150" s="17"/>
      <c r="I150" s="89"/>
      <c r="J150" s="18"/>
      <c r="L150" s="19">
        <v>2004</v>
      </c>
      <c r="M150" s="19">
        <v>2003</v>
      </c>
    </row>
    <row r="151" spans="1:13" ht="16" thickBot="1" x14ac:dyDescent="0.4">
      <c r="A151" s="14"/>
      <c r="B151" s="15"/>
      <c r="C151" s="56"/>
      <c r="D151" s="56"/>
      <c r="E151" s="89"/>
      <c r="F151" s="90"/>
      <c r="G151" s="89"/>
      <c r="H151" s="17"/>
      <c r="I151" s="89"/>
      <c r="J151" s="18"/>
      <c r="L151" s="19"/>
      <c r="M151" s="19"/>
    </row>
    <row r="152" spans="1:13" ht="14.5" customHeight="1" thickBot="1" x14ac:dyDescent="0.4">
      <c r="A152" s="14" t="str">
        <f t="shared" si="5"/>
        <v>2002</v>
      </c>
      <c r="B152" s="82">
        <v>2002</v>
      </c>
      <c r="C152" s="83"/>
      <c r="D152" s="83"/>
      <c r="E152" s="84">
        <f>SUM(E153:E156)</f>
        <v>149134.83933702763</v>
      </c>
      <c r="F152" s="85">
        <f>SUM(F153:F156)</f>
        <v>0.99899389999999988</v>
      </c>
      <c r="G152" s="84">
        <v>168137</v>
      </c>
      <c r="H152" s="8">
        <f>E152/(G152)</f>
        <v>0.88698406262171703</v>
      </c>
      <c r="I152" s="84">
        <f>G152</f>
        <v>168137</v>
      </c>
      <c r="J152" s="9">
        <f>E152/I152</f>
        <v>0.88698406262171703</v>
      </c>
      <c r="L152" s="19"/>
      <c r="M152" s="19"/>
    </row>
    <row r="153" spans="1:13" x14ac:dyDescent="0.35">
      <c r="A153" s="14" t="str">
        <f t="shared" si="5"/>
        <v>Dividends</v>
      </c>
      <c r="B153" s="15" t="s">
        <v>43</v>
      </c>
      <c r="C153" s="56">
        <f>'Proventos (port)'!C154</f>
        <v>37737</v>
      </c>
      <c r="D153" s="56">
        <f>'Proventos (port)'!D154</f>
        <v>37796</v>
      </c>
      <c r="E153" s="89">
        <f>'Proventos (port)'!E154</f>
        <v>12782.068339187104</v>
      </c>
      <c r="F153" s="90">
        <f>'Proventos (port)'!F154</f>
        <v>8.5621900000000001E-2</v>
      </c>
      <c r="G153" s="89"/>
      <c r="H153" s="17"/>
      <c r="I153" s="89"/>
      <c r="J153" s="18"/>
      <c r="L153" s="19">
        <v>2003</v>
      </c>
      <c r="M153" s="19">
        <v>2002</v>
      </c>
    </row>
    <row r="154" spans="1:13" x14ac:dyDescent="0.35">
      <c r="A154" s="14" t="str">
        <f t="shared" si="5"/>
        <v>IOE</v>
      </c>
      <c r="B154" s="15" t="s">
        <v>42</v>
      </c>
      <c r="C154" s="56">
        <f>'Proventos (port)'!C155</f>
        <v>37618</v>
      </c>
      <c r="D154" s="56">
        <f>'Proventos (port)'!D155</f>
        <v>37666</v>
      </c>
      <c r="E154" s="89">
        <f>'Proventos (port)'!E155</f>
        <v>49999.88749111614</v>
      </c>
      <c r="F154" s="90">
        <f>'Proventos (port)'!F155</f>
        <v>0.33492899999999998</v>
      </c>
      <c r="G154" s="89"/>
      <c r="H154" s="17"/>
      <c r="I154" s="89"/>
      <c r="J154" s="18"/>
      <c r="L154" s="19">
        <v>2003</v>
      </c>
      <c r="M154" s="19">
        <v>2002</v>
      </c>
    </row>
    <row r="155" spans="1:13" x14ac:dyDescent="0.35">
      <c r="A155" s="14" t="str">
        <f t="shared" si="5"/>
        <v>IOE</v>
      </c>
      <c r="B155" s="15" t="s">
        <v>42</v>
      </c>
      <c r="C155" s="56">
        <f>'Proventos (port)'!C156</f>
        <v>37533</v>
      </c>
      <c r="D155" s="56">
        <f>'Proventos (port)'!D156</f>
        <v>37582</v>
      </c>
      <c r="E155" s="89">
        <f>'Proventos (port)'!E156</f>
        <v>31999.993679729734</v>
      </c>
      <c r="F155" s="90">
        <f>'Proventos (port)'!F156</f>
        <v>0.21435499999999999</v>
      </c>
      <c r="G155" s="89"/>
      <c r="H155" s="17"/>
      <c r="I155" s="89"/>
      <c r="J155" s="18"/>
      <c r="L155" s="19">
        <v>2002</v>
      </c>
      <c r="M155" s="19">
        <v>2002</v>
      </c>
    </row>
    <row r="156" spans="1:13" x14ac:dyDescent="0.35">
      <c r="A156" s="14" t="str">
        <f t="shared" si="5"/>
        <v>IOE</v>
      </c>
      <c r="B156" s="15" t="s">
        <v>42</v>
      </c>
      <c r="C156" s="56">
        <f>'Proventos (port)'!C157</f>
        <v>37442</v>
      </c>
      <c r="D156" s="56">
        <f>'Proventos (port)'!D157</f>
        <v>37491</v>
      </c>
      <c r="E156" s="89">
        <f>'Proventos (port)'!E157</f>
        <v>54352.889826994666</v>
      </c>
      <c r="F156" s="90">
        <f>'Proventos (port)'!F157</f>
        <v>0.36408800000000002</v>
      </c>
      <c r="G156" s="89"/>
      <c r="H156" s="17"/>
      <c r="I156" s="89"/>
      <c r="J156" s="18"/>
      <c r="L156" s="19">
        <v>2002</v>
      </c>
      <c r="M156" s="19">
        <v>2002</v>
      </c>
    </row>
    <row r="157" spans="1:13" x14ac:dyDescent="0.35">
      <c r="A157" s="14"/>
      <c r="B157" s="42"/>
      <c r="C157" s="43"/>
      <c r="D157" s="43"/>
      <c r="E157" s="44"/>
      <c r="F157" s="45"/>
      <c r="G157" s="44"/>
      <c r="H157" s="46"/>
      <c r="I157" s="44"/>
      <c r="J157" s="47"/>
      <c r="L157" s="19"/>
      <c r="M157" s="19"/>
    </row>
    <row r="158" spans="1:13" x14ac:dyDescent="0.35">
      <c r="C158" s="49"/>
      <c r="D158" s="49"/>
      <c r="E158" s="50"/>
      <c r="F158" s="51"/>
      <c r="G158" s="50"/>
      <c r="H158" s="49"/>
      <c r="I158" s="50"/>
      <c r="J158" s="49"/>
    </row>
    <row r="159" spans="1:13" x14ac:dyDescent="0.35">
      <c r="B159" s="48" t="s">
        <v>46</v>
      </c>
    </row>
    <row r="160" spans="1:13" x14ac:dyDescent="0.35">
      <c r="B160" s="48" t="s">
        <v>47</v>
      </c>
    </row>
    <row r="161" spans="2:2" x14ac:dyDescent="0.35">
      <c r="B161" s="48" t="s">
        <v>27</v>
      </c>
    </row>
  </sheetData>
  <mergeCells count="1">
    <mergeCell ref="B1:B4"/>
  </mergeCells>
  <hyperlinks>
    <hyperlink ref="F2" location="Menu!A1" display="→Menu←" xr:uid="{A5496826-D17C-406F-907A-9419D0ECD27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Proventos (port)</vt:lpstr>
      <vt:lpstr>Proventos (eng)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Geromel</dc:creator>
  <cp:lastModifiedBy>Bruna Carolina Spirandeli Sakamoto</cp:lastModifiedBy>
  <dcterms:created xsi:type="dcterms:W3CDTF">2025-02-07T19:30:27Z</dcterms:created>
  <dcterms:modified xsi:type="dcterms:W3CDTF">2026-02-24T21:49:51Z</dcterms:modified>
</cp:coreProperties>
</file>