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VA REDE\1. ADMINISTRATIVO\1.14 - Site\1.14.14. - Remuneração aos acionistas\2022\05.2022\"/>
    </mc:Choice>
  </mc:AlternateContent>
  <xr:revisionPtr revIDLastSave="0" documentId="13_ncr:1_{F6462702-1B93-43D8-8FEF-D34873D5C7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rt" sheetId="4" r:id="rId1"/>
  </sheets>
  <definedNames>
    <definedName name="_xlnm._FilterDatabase" localSheetId="0" hidden="1">port!$K$1:$L$128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4" l="1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3" i="4"/>
  <c r="Y2" i="4"/>
  <c r="T3" i="4"/>
  <c r="T4" i="4" s="1"/>
  <c r="T5" i="4" s="1"/>
  <c r="T6" i="4" s="1"/>
  <c r="T7" i="4" s="1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N5" i="4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4" i="4"/>
  <c r="N3" i="4"/>
  <c r="W2" i="4"/>
  <c r="U2" i="4"/>
  <c r="U4" i="4" l="1"/>
  <c r="U12" i="4"/>
  <c r="U6" i="4"/>
  <c r="U14" i="4"/>
  <c r="U22" i="4"/>
  <c r="W9" i="4"/>
  <c r="W17" i="4"/>
  <c r="W10" i="4"/>
  <c r="W18" i="4"/>
  <c r="U8" i="4"/>
  <c r="U16" i="4"/>
  <c r="W3" i="4"/>
  <c r="W11" i="4"/>
  <c r="W19" i="4"/>
  <c r="W15" i="4"/>
  <c r="U5" i="4"/>
  <c r="U13" i="4"/>
  <c r="U21" i="4"/>
  <c r="W16" i="4"/>
  <c r="U15" i="4"/>
  <c r="U9" i="4"/>
  <c r="U17" i="4"/>
  <c r="W4" i="4"/>
  <c r="W12" i="4"/>
  <c r="W20" i="4"/>
  <c r="U10" i="4"/>
  <c r="U18" i="4"/>
  <c r="W13" i="4"/>
  <c r="W21" i="4"/>
  <c r="U20" i="4"/>
  <c r="U7" i="4"/>
  <c r="U3" i="4"/>
  <c r="U11" i="4"/>
  <c r="U19" i="4"/>
  <c r="W14" i="4"/>
  <c r="W22" i="4"/>
  <c r="X11" i="4"/>
  <c r="X15" i="4"/>
  <c r="X19" i="4"/>
  <c r="X12" i="4"/>
  <c r="X16" i="4"/>
  <c r="X20" i="4"/>
  <c r="X13" i="4"/>
  <c r="X17" i="4"/>
  <c r="X21" i="4"/>
  <c r="X14" i="4"/>
  <c r="X18" i="4"/>
  <c r="X22" i="4"/>
  <c r="K127" i="4" l="1"/>
  <c r="K126" i="4"/>
  <c r="K125" i="4"/>
  <c r="K124" i="4"/>
  <c r="K121" i="4"/>
  <c r="K118" i="4"/>
  <c r="K115" i="4"/>
  <c r="K114" i="4"/>
  <c r="K113" i="4"/>
  <c r="K110" i="4"/>
  <c r="K109" i="4"/>
  <c r="K108" i="4"/>
  <c r="K105" i="4"/>
  <c r="K104" i="4"/>
  <c r="K103" i="4"/>
  <c r="K102" i="4"/>
  <c r="K101" i="4"/>
  <c r="K100" i="4"/>
  <c r="K99" i="4"/>
  <c r="K96" i="4"/>
  <c r="K95" i="4"/>
  <c r="K94" i="4"/>
  <c r="K93" i="4"/>
  <c r="K92" i="4"/>
  <c r="K91" i="4"/>
  <c r="K90" i="4"/>
  <c r="K89" i="4"/>
  <c r="K88" i="4"/>
  <c r="K85" i="4"/>
  <c r="K84" i="4"/>
  <c r="K83" i="4"/>
  <c r="K82" i="4"/>
  <c r="K81" i="4"/>
  <c r="K80" i="4"/>
  <c r="K79" i="4"/>
  <c r="K78" i="4"/>
  <c r="K77" i="4"/>
  <c r="K76" i="4"/>
  <c r="K73" i="4"/>
  <c r="K72" i="4"/>
  <c r="K71" i="4"/>
  <c r="K70" i="4"/>
  <c r="K69" i="4"/>
  <c r="K68" i="4"/>
  <c r="K67" i="4"/>
  <c r="K66" i="4"/>
  <c r="K65" i="4"/>
  <c r="K62" i="4"/>
  <c r="K61" i="4"/>
  <c r="K60" i="4"/>
  <c r="K59" i="4"/>
  <c r="K58" i="4"/>
  <c r="K57" i="4"/>
  <c r="K54" i="4"/>
  <c r="K53" i="4"/>
  <c r="K52" i="4"/>
  <c r="K51" i="4"/>
  <c r="K48" i="4"/>
  <c r="K47" i="4"/>
  <c r="K44" i="4"/>
  <c r="K43" i="4"/>
  <c r="K42" i="4"/>
  <c r="K39" i="4"/>
  <c r="K38" i="4"/>
  <c r="K35" i="4"/>
  <c r="K34" i="4"/>
  <c r="K31" i="4"/>
  <c r="K30" i="4"/>
  <c r="K29" i="4"/>
  <c r="K26" i="4"/>
  <c r="K25" i="4"/>
  <c r="K24" i="4"/>
  <c r="K21" i="4"/>
  <c r="K20" i="4"/>
  <c r="K19" i="4"/>
  <c r="K18" i="4"/>
  <c r="K15" i="4"/>
  <c r="K14" i="4"/>
  <c r="K13" i="4"/>
  <c r="K12" i="4"/>
  <c r="K11" i="4"/>
  <c r="K10" i="4"/>
  <c r="K7" i="4"/>
  <c r="K6" i="4"/>
  <c r="K5" i="4"/>
  <c r="K4" i="4"/>
  <c r="K3" i="4"/>
  <c r="R2" i="4" l="1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O8" i="4"/>
  <c r="O9" i="4"/>
  <c r="Q9" i="4"/>
  <c r="O10" i="4"/>
  <c r="Q10" i="4"/>
  <c r="O11" i="4"/>
  <c r="Q11" i="4"/>
  <c r="O12" i="4"/>
  <c r="Q12" i="4"/>
  <c r="O13" i="4"/>
  <c r="Q13" i="4"/>
  <c r="Q14" i="4"/>
  <c r="O14" i="4"/>
  <c r="O15" i="4"/>
  <c r="Q15" i="4"/>
  <c r="Q16" i="4"/>
  <c r="O16" i="4"/>
  <c r="O17" i="4"/>
  <c r="Q17" i="4"/>
  <c r="Q18" i="4"/>
  <c r="O18" i="4"/>
  <c r="O19" i="4"/>
  <c r="Q19" i="4"/>
  <c r="Q20" i="4"/>
  <c r="O20" i="4"/>
  <c r="O21" i="4"/>
  <c r="Q22" i="4"/>
  <c r="O22" i="4"/>
  <c r="E2" i="4"/>
  <c r="D6" i="4"/>
  <c r="D7" i="4"/>
  <c r="D10" i="4"/>
  <c r="D9" i="4" s="1"/>
  <c r="E9" i="4"/>
  <c r="Q21" i="4" l="1"/>
  <c r="P21" i="4" s="1"/>
  <c r="V21" i="4"/>
  <c r="P19" i="4"/>
  <c r="V16" i="4"/>
  <c r="P12" i="4"/>
  <c r="V19" i="4"/>
  <c r="P18" i="4"/>
  <c r="P22" i="4"/>
  <c r="V15" i="4"/>
  <c r="V13" i="4"/>
  <c r="V9" i="4"/>
  <c r="R23" i="4"/>
  <c r="V17" i="4"/>
  <c r="P15" i="4"/>
  <c r="P13" i="4"/>
  <c r="V11" i="4"/>
  <c r="P9" i="4"/>
  <c r="P17" i="4"/>
  <c r="P11" i="4"/>
  <c r="V22" i="4"/>
  <c r="V20" i="4"/>
  <c r="V18" i="4"/>
  <c r="V14" i="4"/>
  <c r="V10" i="4"/>
  <c r="D2" i="4"/>
  <c r="P16" i="4"/>
  <c r="V12" i="4"/>
  <c r="P10" i="4"/>
  <c r="P20" i="4"/>
  <c r="P14" i="4"/>
  <c r="G9" i="4"/>
  <c r="I9" i="4"/>
  <c r="E17" i="4"/>
  <c r="D17" i="4"/>
  <c r="I2" i="4" l="1"/>
  <c r="G2" i="4"/>
  <c r="G17" i="4"/>
  <c r="I17" i="4"/>
  <c r="D23" i="4"/>
  <c r="G23" i="4" l="1"/>
  <c r="I23" i="4"/>
  <c r="E117" i="4"/>
  <c r="E112" i="4"/>
  <c r="E107" i="4"/>
  <c r="E98" i="4"/>
  <c r="E87" i="4"/>
  <c r="D87" i="4"/>
  <c r="W8" i="4" s="1"/>
  <c r="E75" i="4"/>
  <c r="D75" i="4"/>
  <c r="E64" i="4"/>
  <c r="D64" i="4"/>
  <c r="E56" i="4"/>
  <c r="D56" i="4"/>
  <c r="E50" i="4"/>
  <c r="D50" i="4"/>
  <c r="E46" i="4"/>
  <c r="D46" i="4"/>
  <c r="E41" i="4"/>
  <c r="D41" i="4"/>
  <c r="E37" i="4"/>
  <c r="D37" i="4"/>
  <c r="E33" i="4"/>
  <c r="D33" i="4"/>
  <c r="E28" i="4"/>
  <c r="D28" i="4"/>
  <c r="E23" i="4"/>
  <c r="G75" i="4" l="1"/>
  <c r="G41" i="4"/>
  <c r="G28" i="4"/>
  <c r="G33" i="4"/>
  <c r="G50" i="4"/>
  <c r="G87" i="4"/>
  <c r="G64" i="4"/>
  <c r="G37" i="4"/>
  <c r="G56" i="4"/>
  <c r="H87" i="4"/>
  <c r="H75" i="4"/>
  <c r="H64" i="4"/>
  <c r="H123" i="4"/>
  <c r="X2" i="4" s="1"/>
  <c r="H120" i="4"/>
  <c r="X3" i="4" s="1"/>
  <c r="H117" i="4"/>
  <c r="X4" i="4" s="1"/>
  <c r="H112" i="4"/>
  <c r="X5" i="4" s="1"/>
  <c r="H107" i="4"/>
  <c r="X6" i="4" s="1"/>
  <c r="H98" i="4"/>
  <c r="E123" i="4"/>
  <c r="X10" i="4" l="1"/>
  <c r="X7" i="4"/>
  <c r="X8" i="4"/>
  <c r="X9" i="4"/>
  <c r="E120" i="4"/>
  <c r="R24" i="4" s="1"/>
  <c r="X23" i="4" l="1"/>
  <c r="D127" i="4"/>
  <c r="D126" i="4"/>
  <c r="D125" i="4"/>
  <c r="D124" i="4"/>
  <c r="D121" i="4"/>
  <c r="I75" i="4"/>
  <c r="I64" i="4"/>
  <c r="I56" i="4"/>
  <c r="I50" i="4"/>
  <c r="I41" i="4"/>
  <c r="I37" i="4"/>
  <c r="I33" i="4"/>
  <c r="I28" i="4"/>
  <c r="D118" i="4"/>
  <c r="D115" i="4"/>
  <c r="D114" i="4"/>
  <c r="D113" i="4"/>
  <c r="D110" i="4"/>
  <c r="D109" i="4"/>
  <c r="D108" i="4"/>
  <c r="D105" i="4"/>
  <c r="D104" i="4"/>
  <c r="D103" i="4"/>
  <c r="D102" i="4"/>
  <c r="D101" i="4"/>
  <c r="D99" i="4"/>
  <c r="I87" i="4"/>
  <c r="V8" i="4" l="1"/>
  <c r="V3" i="4"/>
  <c r="D120" i="4"/>
  <c r="I120" i="4" s="1"/>
  <c r="Q4" i="4"/>
  <c r="O4" i="4"/>
  <c r="O5" i="4"/>
  <c r="Q5" i="4"/>
  <c r="Q3" i="4"/>
  <c r="O3" i="4"/>
  <c r="Q2" i="4"/>
  <c r="O2" i="4"/>
  <c r="Q8" i="4"/>
  <c r="P8" i="4" s="1"/>
  <c r="Q6" i="4"/>
  <c r="O7" i="4"/>
  <c r="Q7" i="4"/>
  <c r="O6" i="4"/>
  <c r="D107" i="4"/>
  <c r="G120" i="4"/>
  <c r="D117" i="4"/>
  <c r="G117" i="4" s="1"/>
  <c r="D98" i="4"/>
  <c r="W7" i="4" s="1"/>
  <c r="D112" i="4"/>
  <c r="D123" i="4"/>
  <c r="G112" i="4" l="1"/>
  <c r="W5" i="4"/>
  <c r="V5" i="4" s="1"/>
  <c r="G107" i="4"/>
  <c r="W6" i="4"/>
  <c r="P3" i="4"/>
  <c r="U23" i="4"/>
  <c r="V7" i="4"/>
  <c r="P2" i="4"/>
  <c r="V2" i="4"/>
  <c r="P6" i="4"/>
  <c r="P4" i="4"/>
  <c r="V4" i="4"/>
  <c r="P7" i="4"/>
  <c r="P5" i="4"/>
  <c r="G98" i="4"/>
  <c r="I107" i="4"/>
  <c r="I98" i="4"/>
  <c r="I117" i="4"/>
  <c r="I123" i="4"/>
  <c r="G123" i="4"/>
  <c r="I112" i="4"/>
  <c r="W23" i="4" l="1"/>
  <c r="W24" i="4" s="1"/>
  <c r="V6" i="4"/>
  <c r="V23" i="4" s="1"/>
  <c r="Q23" i="4" l="1"/>
  <c r="Q24" i="4" s="1"/>
  <c r="P23" i="4" l="1"/>
  <c r="O23" i="4"/>
</calcChain>
</file>

<file path=xl/sharedStrings.xml><?xml version="1.0" encoding="utf-8"?>
<sst xmlns="http://schemas.openxmlformats.org/spreadsheetml/2006/main" count="116" uniqueCount="27">
  <si>
    <t>JCP</t>
  </si>
  <si>
    <t>Dividendos</t>
  </si>
  <si>
    <t>Provento Tipo</t>
  </si>
  <si>
    <t>Data ex-Direitos</t>
  </si>
  <si>
    <t>P/Ação</t>
  </si>
  <si>
    <t>Data Pagamento</t>
  </si>
  <si>
    <t>Payout
IFRS</t>
  </si>
  <si>
    <t>Payout
Regulatório</t>
  </si>
  <si>
    <t>N/A</t>
  </si>
  <si>
    <t>Dividendos³</t>
  </si>
  <si>
    <t>¹ Exclui a participação do acionista não controlador</t>
  </si>
  <si>
    <t>² Distribuição de dividendos com base na reserva constituída nas demonstrações financeiras relativas ao exercício de 2017</t>
  </si>
  <si>
    <t>Ano Pgto</t>
  </si>
  <si>
    <t>Total</t>
  </si>
  <si>
    <t>Ano de Pagamento</t>
  </si>
  <si>
    <t>Payout Regulatório</t>
  </si>
  <si>
    <t>Ano Base</t>
  </si>
  <si>
    <t>Exercício Social
 (base)</t>
  </si>
  <si>
    <t>Lucro Líquido IFRS¹
(R$ mil)</t>
  </si>
  <si>
    <t>Lucro Líquido Regulatório¹
(R$ mil)</t>
  </si>
  <si>
    <t>Valor Total
(R$ mil)</t>
  </si>
  <si>
    <t>P/Ação (R$)</t>
  </si>
  <si>
    <t>Lucro Líquido Regulatório (R$ Mil)</t>
  </si>
  <si>
    <t>³ Distribution of interim dividends on the constituted profit reserve</t>
  </si>
  <si>
    <t>JCP
(R$ mil)</t>
  </si>
  <si>
    <t>Dividendos 
(R$ mil)</t>
  </si>
  <si>
    <t>Total
(R$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</si>
</sst>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#,##0.000000"/>
    <numFmt numFmtId="167" formatCode="_-* #,##0.0_-;\-* #,##0.0_-;_-* &quot;-&quot;??_-;_-@_-"/>
    <numFmt numFmtId="168" formatCode="_-&quot;R$&quot;\ * #,##0.00000_-;\-&quot;R$&quot;\ * #,##0.00000_-;_-&quot;R$&quot;\ * &quot;-&quot;??_-;_-@_-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686868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hair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3" xfId="0" applyNumberFormat="1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6" borderId="5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169" fontId="5" fillId="6" borderId="57" xfId="2" applyNumberFormat="1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4" fontId="7" fillId="4" borderId="11" xfId="1" applyNumberFormat="1" applyFont="1" applyFill="1" applyBorder="1" applyAlignment="1">
      <alignment horizontal="center" vertical="center" wrapText="1"/>
    </xf>
    <xf numFmtId="9" fontId="7" fillId="4" borderId="8" xfId="2" applyFont="1" applyFill="1" applyBorder="1" applyAlignment="1">
      <alignment horizontal="center" vertical="center" wrapText="1"/>
    </xf>
    <xf numFmtId="164" fontId="7" fillId="4" borderId="8" xfId="1" applyNumberFormat="1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49" xfId="0" applyFont="1" applyFill="1" applyBorder="1" applyAlignment="1">
      <alignment horizontal="center"/>
    </xf>
    <xf numFmtId="164" fontId="4" fillId="3" borderId="50" xfId="1" applyNumberFormat="1" applyFont="1" applyFill="1" applyBorder="1"/>
    <xf numFmtId="164" fontId="4" fillId="3" borderId="50" xfId="0" applyNumberFormat="1" applyFont="1" applyFill="1" applyBorder="1" applyAlignment="1">
      <alignment horizontal="center"/>
    </xf>
    <xf numFmtId="168" fontId="4" fillId="3" borderId="51" xfId="5" applyNumberFormat="1" applyFont="1" applyFill="1" applyBorder="1" applyAlignment="1">
      <alignment horizontal="center"/>
    </xf>
    <xf numFmtId="164" fontId="4" fillId="3" borderId="56" xfId="1" applyNumberFormat="1" applyFont="1" applyFill="1" applyBorder="1"/>
    <xf numFmtId="164" fontId="4" fillId="3" borderId="56" xfId="0" applyNumberFormat="1" applyFont="1" applyFill="1" applyBorder="1" applyAlignment="1">
      <alignment horizontal="center"/>
    </xf>
    <xf numFmtId="9" fontId="4" fillId="3" borderId="57" xfId="2" applyNumberFormat="1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 vertical="center" wrapText="1"/>
    </xf>
    <xf numFmtId="14" fontId="8" fillId="5" borderId="6" xfId="0" applyNumberFormat="1" applyFont="1" applyFill="1" applyBorder="1" applyAlignment="1">
      <alignment horizontal="center" vertical="center" wrapText="1"/>
    </xf>
    <xf numFmtId="14" fontId="8" fillId="5" borderId="16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0" xfId="1" applyNumberFormat="1" applyFont="1" applyFill="1" applyBorder="1" applyAlignment="1">
      <alignment horizontal="center" vertical="center" wrapText="1"/>
    </xf>
    <xf numFmtId="164" fontId="8" fillId="5" borderId="31" xfId="1" applyNumberFormat="1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/>
    </xf>
    <xf numFmtId="164" fontId="4" fillId="5" borderId="50" xfId="1" applyNumberFormat="1" applyFont="1" applyFill="1" applyBorder="1"/>
    <xf numFmtId="164" fontId="4" fillId="5" borderId="50" xfId="0" applyNumberFormat="1" applyFont="1" applyFill="1" applyBorder="1" applyAlignment="1">
      <alignment horizontal="center"/>
    </xf>
    <xf numFmtId="168" fontId="4" fillId="5" borderId="51" xfId="5" applyNumberFormat="1" applyFont="1" applyFill="1" applyBorder="1" applyAlignment="1">
      <alignment horizontal="center"/>
    </xf>
    <xf numFmtId="164" fontId="4" fillId="5" borderId="56" xfId="1" applyNumberFormat="1" applyFont="1" applyFill="1" applyBorder="1"/>
    <xf numFmtId="164" fontId="4" fillId="5" borderId="56" xfId="0" applyNumberFormat="1" applyFont="1" applyFill="1" applyBorder="1" applyAlignment="1">
      <alignment horizontal="center"/>
    </xf>
    <xf numFmtId="9" fontId="4" fillId="5" borderId="57" xfId="2" applyNumberFormat="1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3" fontId="8" fillId="3" borderId="1" xfId="0" quotePrefix="1" applyNumberFormat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9" fontId="7" fillId="3" borderId="11" xfId="2" applyFont="1" applyFill="1" applyBorder="1" applyAlignment="1">
      <alignment horizontal="center" vertical="center" wrapText="1"/>
    </xf>
    <xf numFmtId="9" fontId="7" fillId="3" borderId="29" xfId="2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5" borderId="25" xfId="1" applyNumberFormat="1" applyFont="1" applyFill="1" applyBorder="1" applyAlignment="1">
      <alignment horizontal="center" vertical="center" wrapText="1"/>
    </xf>
    <xf numFmtId="0" fontId="8" fillId="5" borderId="48" xfId="1" applyNumberFormat="1" applyFont="1" applyFill="1" applyBorder="1" applyAlignment="1">
      <alignment horizontal="center" vertical="center" wrapText="1"/>
    </xf>
    <xf numFmtId="164" fontId="8" fillId="5" borderId="37" xfId="1" applyNumberFormat="1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/>
    </xf>
    <xf numFmtId="164" fontId="5" fillId="7" borderId="53" xfId="0" applyNumberFormat="1" applyFont="1" applyFill="1" applyBorder="1" applyAlignment="1">
      <alignment horizontal="center" vertical="center"/>
    </xf>
    <xf numFmtId="168" fontId="5" fillId="7" borderId="54" xfId="5" applyNumberFormat="1" applyFont="1" applyFill="1" applyBorder="1" applyAlignment="1">
      <alignment horizontal="center" vertical="center"/>
    </xf>
    <xf numFmtId="0" fontId="5" fillId="7" borderId="58" xfId="0" applyFont="1" applyFill="1" applyBorder="1" applyAlignment="1">
      <alignment horizontal="center" vertical="center"/>
    </xf>
    <xf numFmtId="164" fontId="5" fillId="7" borderId="59" xfId="0" applyNumberFormat="1" applyFont="1" applyFill="1" applyBorder="1" applyAlignment="1">
      <alignment horizontal="center" vertical="center"/>
    </xf>
    <xf numFmtId="9" fontId="5" fillId="7" borderId="60" xfId="2" applyNumberFormat="1" applyFont="1" applyFill="1" applyBorder="1" applyAlignment="1">
      <alignment horizontal="center" vertical="center"/>
    </xf>
    <xf numFmtId="167" fontId="9" fillId="0" borderId="0" xfId="0" applyNumberFormat="1" applyFont="1"/>
    <xf numFmtId="169" fontId="9" fillId="0" borderId="0" xfId="2" applyNumberFormat="1" applyFont="1" applyAlignment="1">
      <alignment horizontal="center"/>
    </xf>
    <xf numFmtId="169" fontId="4" fillId="3" borderId="0" xfId="2" applyNumberFormat="1" applyFont="1" applyFill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9" fontId="4" fillId="3" borderId="0" xfId="2" applyFont="1" applyFill="1"/>
    <xf numFmtId="164" fontId="8" fillId="5" borderId="10" xfId="1" applyNumberFormat="1" applyFont="1" applyFill="1" applyBorder="1" applyAlignment="1">
      <alignment horizontal="center" vertical="center" wrapText="1"/>
    </xf>
    <xf numFmtId="169" fontId="4" fillId="0" borderId="0" xfId="2" applyNumberFormat="1" applyFont="1" applyAlignment="1">
      <alignment horizont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64" fontId="8" fillId="5" borderId="7" xfId="1" applyNumberFormat="1" applyFont="1" applyFill="1" applyBorder="1" applyAlignment="1">
      <alignment horizontal="center" vertical="center" wrapText="1"/>
    </xf>
    <xf numFmtId="0" fontId="8" fillId="5" borderId="7" xfId="1" applyNumberFormat="1" applyFont="1" applyFill="1" applyBorder="1" applyAlignment="1">
      <alignment horizontal="center" vertical="center" wrapText="1"/>
    </xf>
    <xf numFmtId="164" fontId="8" fillId="5" borderId="32" xfId="1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164" fontId="8" fillId="2" borderId="34" xfId="1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164" fontId="8" fillId="2" borderId="31" xfId="1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64" fontId="8" fillId="2" borderId="32" xfId="1" applyNumberFormat="1" applyFont="1" applyFill="1" applyBorder="1" applyAlignment="1">
      <alignment horizontal="center" vertical="center" wrapText="1"/>
    </xf>
    <xf numFmtId="164" fontId="8" fillId="5" borderId="9" xfId="1" applyNumberFormat="1" applyFont="1" applyFill="1" applyBorder="1" applyAlignment="1">
      <alignment horizontal="center" vertical="center" wrapText="1"/>
    </xf>
    <xf numFmtId="0" fontId="8" fillId="5" borderId="9" xfId="1" applyNumberFormat="1" applyFont="1" applyFill="1" applyBorder="1" applyAlignment="1">
      <alignment horizontal="center" vertical="center" wrapText="1"/>
    </xf>
    <xf numFmtId="164" fontId="8" fillId="5" borderId="34" xfId="1" applyNumberFormat="1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4" fontId="8" fillId="5" borderId="13" xfId="1" applyNumberFormat="1" applyFont="1" applyFill="1" applyBorder="1" applyAlignment="1">
      <alignment horizontal="center" vertical="center" wrapText="1"/>
    </xf>
    <xf numFmtId="164" fontId="8" fillId="5" borderId="36" xfId="1" applyNumberFormat="1" applyFont="1" applyFill="1" applyBorder="1" applyAlignment="1">
      <alignment horizontal="center" vertical="center" wrapText="1"/>
    </xf>
    <xf numFmtId="164" fontId="8" fillId="5" borderId="14" xfId="1" applyNumberFormat="1" applyFont="1" applyFill="1" applyBorder="1" applyAlignment="1">
      <alignment horizontal="center" vertical="center" wrapText="1"/>
    </xf>
    <xf numFmtId="164" fontId="8" fillId="5" borderId="19" xfId="1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1" applyNumberFormat="1" applyFont="1" applyFill="1" applyBorder="1" applyAlignment="1">
      <alignment horizontal="center" vertical="center" wrapText="1"/>
    </xf>
    <xf numFmtId="0" fontId="8" fillId="2" borderId="36" xfId="1" applyNumberFormat="1" applyFont="1" applyFill="1" applyBorder="1" applyAlignment="1">
      <alignment horizontal="center" vertical="center" wrapText="1"/>
    </xf>
    <xf numFmtId="0" fontId="8" fillId="2" borderId="14" xfId="1" applyNumberFormat="1" applyFont="1" applyFill="1" applyBorder="1" applyAlignment="1">
      <alignment horizontal="center" vertical="center" wrapText="1"/>
    </xf>
    <xf numFmtId="0" fontId="8" fillId="2" borderId="25" xfId="1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39" xfId="1" applyNumberFormat="1" applyFont="1" applyFill="1" applyBorder="1" applyAlignment="1">
      <alignment horizontal="center" vertical="center" wrapText="1"/>
    </xf>
    <xf numFmtId="14" fontId="8" fillId="5" borderId="3" xfId="0" applyNumberFormat="1" applyFont="1" applyFill="1" applyBorder="1" applyAlignment="1">
      <alignment horizontal="center" vertical="center" wrapText="1"/>
    </xf>
    <xf numFmtId="14" fontId="8" fillId="5" borderId="4" xfId="0" applyNumberFormat="1" applyFont="1" applyFill="1" applyBorder="1" applyAlignment="1">
      <alignment horizontal="center" vertical="center" wrapText="1"/>
    </xf>
    <xf numFmtId="164" fontId="8" fillId="5" borderId="0" xfId="1" applyNumberFormat="1" applyFont="1" applyFill="1" applyBorder="1" applyAlignment="1">
      <alignment horizontal="center" vertical="center" wrapText="1"/>
    </xf>
    <xf numFmtId="164" fontId="8" fillId="2" borderId="13" xfId="1" applyNumberFormat="1" applyFont="1" applyFill="1" applyBorder="1" applyAlignment="1">
      <alignment horizontal="center" vertical="center" wrapText="1"/>
    </xf>
    <xf numFmtId="164" fontId="8" fillId="2" borderId="36" xfId="1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5" borderId="17" xfId="1" applyNumberFormat="1" applyFont="1" applyFill="1" applyBorder="1" applyAlignment="1">
      <alignment horizontal="center" vertical="center" wrapText="1"/>
    </xf>
    <xf numFmtId="0" fontId="8" fillId="5" borderId="40" xfId="1" applyNumberFormat="1" applyFont="1" applyFill="1" applyBorder="1" applyAlignment="1">
      <alignment horizontal="center" vertical="center" wrapText="1"/>
    </xf>
    <xf numFmtId="0" fontId="8" fillId="5" borderId="18" xfId="1" applyNumberFormat="1" applyFont="1" applyFill="1" applyBorder="1" applyAlignment="1">
      <alignment horizontal="center" vertical="center" wrapText="1"/>
    </xf>
    <xf numFmtId="0" fontId="8" fillId="5" borderId="41" xfId="1" applyNumberFormat="1" applyFont="1" applyFill="1" applyBorder="1" applyAlignment="1">
      <alignment horizontal="center" vertical="center" wrapText="1"/>
    </xf>
    <xf numFmtId="0" fontId="8" fillId="5" borderId="11" xfId="1" applyNumberFormat="1" applyFont="1" applyFill="1" applyBorder="1" applyAlignment="1">
      <alignment horizontal="center" vertical="center" wrapText="1"/>
    </xf>
    <xf numFmtId="0" fontId="8" fillId="5" borderId="29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14" fontId="8" fillId="2" borderId="43" xfId="0" applyNumberFormat="1" applyFont="1" applyFill="1" applyBorder="1" applyAlignment="1">
      <alignment horizontal="center" vertical="center" wrapText="1"/>
    </xf>
    <xf numFmtId="4" fontId="8" fillId="2" borderId="44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164" fontId="8" fillId="2" borderId="45" xfId="1" applyNumberFormat="1" applyFont="1" applyFill="1" applyBorder="1" applyAlignment="1">
      <alignment horizontal="center" vertical="center" wrapText="1"/>
    </xf>
    <xf numFmtId="0" fontId="8" fillId="2" borderId="45" xfId="1" applyNumberFormat="1" applyFont="1" applyFill="1" applyBorder="1" applyAlignment="1">
      <alignment horizontal="center" vertical="center" wrapText="1"/>
    </xf>
    <xf numFmtId="164" fontId="8" fillId="2" borderId="46" xfId="1" applyNumberFormat="1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8" borderId="55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2" borderId="47" xfId="0" applyFont="1" applyFill="1" applyBorder="1" applyAlignment="1">
      <alignment horizontal="left" vertical="top"/>
    </xf>
  </cellXfs>
  <cellStyles count="6">
    <cellStyle name="Moeda" xfId="5" builtinId="4"/>
    <cellStyle name="Normal" xfId="0" builtinId="0"/>
    <cellStyle name="Normal 133" xfId="4" xr:uid="{956143F2-BB3F-49B1-9ED4-74C5998E57C7}"/>
    <cellStyle name="Normal 2" xfId="3" xr:uid="{4588ABA6-9169-4E27-993E-5E040A699228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2"/>
  <sheetViews>
    <sheetView showGridLines="0" tabSelected="1" zoomScale="55" zoomScaleNormal="55" workbookViewId="0">
      <pane ySplit="1" topLeftCell="A2" activePane="bottomLeft" state="frozen"/>
      <selection pane="bottomLeft" activeCell="N1" sqref="N1:Y23"/>
    </sheetView>
  </sheetViews>
  <sheetFormatPr defaultRowHeight="15.5" outlineLevelCol="1" x14ac:dyDescent="0.35"/>
  <cols>
    <col min="1" max="1" width="16.26953125" style="9" bestFit="1" customWidth="1"/>
    <col min="2" max="2" width="18.7265625" style="9" customWidth="1"/>
    <col min="3" max="3" width="15.1796875" style="9" customWidth="1"/>
    <col min="4" max="4" width="15.453125" style="9" customWidth="1"/>
    <col min="5" max="5" width="12" style="9" bestFit="1" customWidth="1"/>
    <col min="6" max="6" width="15.1796875" style="9" customWidth="1"/>
    <col min="7" max="7" width="13.54296875" style="9" customWidth="1"/>
    <col min="8" max="8" width="14" style="147" bestFit="1" customWidth="1"/>
    <col min="9" max="9" width="14" style="9" bestFit="1" customWidth="1"/>
    <col min="10" max="10" width="9.6328125" style="8" bestFit="1" customWidth="1"/>
    <col min="11" max="12" width="8.7265625" style="9" hidden="1" customWidth="1" outlineLevel="1"/>
    <col min="13" max="13" width="5.36328125" style="8" customWidth="1" collapsed="1"/>
    <col min="14" max="14" width="11.26953125" style="9" customWidth="1"/>
    <col min="15" max="15" width="12.26953125" style="9" customWidth="1"/>
    <col min="16" max="16" width="12.81640625" style="9" customWidth="1"/>
    <col min="17" max="17" width="14.1796875" style="8" customWidth="1"/>
    <col min="18" max="18" width="13.90625" style="8" customWidth="1"/>
    <col min="19" max="19" width="8.7265625" style="8"/>
    <col min="20" max="20" width="11.26953125" style="9" customWidth="1"/>
    <col min="21" max="21" width="12.453125" style="9" customWidth="1"/>
    <col min="22" max="22" width="13.36328125" style="9" customWidth="1"/>
    <col min="23" max="24" width="14.26953125" style="8" customWidth="1"/>
    <col min="25" max="25" width="12.7265625" style="81" customWidth="1"/>
    <col min="26" max="16384" width="8.7265625" style="8"/>
  </cols>
  <sheetData>
    <row r="1" spans="1:25" ht="50.5" customHeight="1" x14ac:dyDescent="0.35">
      <c r="A1" s="1" t="s">
        <v>2</v>
      </c>
      <c r="B1" s="2" t="s">
        <v>3</v>
      </c>
      <c r="C1" s="2" t="s">
        <v>5</v>
      </c>
      <c r="D1" s="3" t="s">
        <v>20</v>
      </c>
      <c r="E1" s="3" t="s">
        <v>21</v>
      </c>
      <c r="F1" s="4" t="s">
        <v>18</v>
      </c>
      <c r="G1" s="5" t="s">
        <v>6</v>
      </c>
      <c r="H1" s="6" t="s">
        <v>19</v>
      </c>
      <c r="I1" s="7" t="s">
        <v>7</v>
      </c>
      <c r="K1" s="9" t="s">
        <v>12</v>
      </c>
      <c r="L1" s="9" t="s">
        <v>16</v>
      </c>
      <c r="N1" s="149" t="s">
        <v>14</v>
      </c>
      <c r="O1" s="10" t="s">
        <v>24</v>
      </c>
      <c r="P1" s="10" t="s">
        <v>25</v>
      </c>
      <c r="Q1" s="10" t="s">
        <v>26</v>
      </c>
      <c r="R1" s="11" t="s">
        <v>4</v>
      </c>
      <c r="T1" s="148" t="s">
        <v>17</v>
      </c>
      <c r="U1" s="10" t="s">
        <v>24</v>
      </c>
      <c r="V1" s="10" t="s">
        <v>25</v>
      </c>
      <c r="W1" s="10" t="s">
        <v>26</v>
      </c>
      <c r="X1" s="12" t="s">
        <v>22</v>
      </c>
      <c r="Y1" s="13" t="s">
        <v>15</v>
      </c>
    </row>
    <row r="2" spans="1:25" s="23" customFormat="1" x14ac:dyDescent="0.35">
      <c r="A2" s="14">
        <v>2021</v>
      </c>
      <c r="B2" s="15"/>
      <c r="C2" s="16"/>
      <c r="D2" s="17">
        <f>SUM(D3:D7)</f>
        <v>1840191.4332099999</v>
      </c>
      <c r="E2" s="18">
        <f>SUM(E3:E7)</f>
        <v>2.7928950000000001</v>
      </c>
      <c r="F2" s="19">
        <v>3018599.1695399997</v>
      </c>
      <c r="G2" s="20">
        <f>D2/F2</f>
        <v>0.60961768351987733</v>
      </c>
      <c r="H2" s="21">
        <v>877567</v>
      </c>
      <c r="I2" s="22">
        <f>D2/H2</f>
        <v>2.0969241473414564</v>
      </c>
      <c r="K2" s="24"/>
      <c r="L2" s="24"/>
      <c r="N2" s="25">
        <v>2022</v>
      </c>
      <c r="O2" s="26">
        <f t="shared" ref="O2:O22" si="0">SUMIFS($D:$D,$K:$K,$N2,$A:$A,"JCP")</f>
        <v>114577.17103</v>
      </c>
      <c r="P2" s="27">
        <f>Q2-O2</f>
        <v>0</v>
      </c>
      <c r="Q2" s="26">
        <f t="shared" ref="Q2:Q22" si="1">SUMIF($K:$K,$N2,$D:$D)</f>
        <v>114577.17103</v>
      </c>
      <c r="R2" s="28">
        <f t="shared" ref="R2:R22" si="2">SUMIF($K:$K,$N2,$E:$E)</f>
        <v>0.173896</v>
      </c>
      <c r="T2" s="25">
        <v>2022</v>
      </c>
      <c r="U2" s="29">
        <f>SUMIFS($D:$D,$L:$L,$T2,$A:$A,"JCP")</f>
        <v>0</v>
      </c>
      <c r="V2" s="30">
        <f>W2-U2</f>
        <v>0</v>
      </c>
      <c r="W2" s="29">
        <f>SUMIF($L:$L,$T2,$D:$D)</f>
        <v>0</v>
      </c>
      <c r="X2" s="29">
        <f t="shared" ref="X2:X22" si="3">IFERROR(INDEX($A$1:$I$128,MATCH($T2,$A$1:$A$128,0),MATCH(H$1,$A$1:$I$1,0)),0)</f>
        <v>0</v>
      </c>
      <c r="Y2" s="31" t="str">
        <f>IFERROR(IF(W2/X2&lt;0,"N/A",W2/X2),"N/A")</f>
        <v>N/A</v>
      </c>
    </row>
    <row r="3" spans="1:25" s="23" customFormat="1" x14ac:dyDescent="0.35">
      <c r="A3" s="32" t="s">
        <v>0</v>
      </c>
      <c r="B3" s="33">
        <v>44553</v>
      </c>
      <c r="C3" s="34">
        <v>44579</v>
      </c>
      <c r="D3" s="35">
        <v>114577.17103</v>
      </c>
      <c r="E3" s="36">
        <v>0.173896</v>
      </c>
      <c r="F3" s="37"/>
      <c r="G3" s="37"/>
      <c r="H3" s="37"/>
      <c r="I3" s="38"/>
      <c r="K3" s="24">
        <f>YEAR(C3)</f>
        <v>2022</v>
      </c>
      <c r="L3" s="24">
        <v>2021</v>
      </c>
      <c r="N3" s="39">
        <f>N2-1</f>
        <v>2021</v>
      </c>
      <c r="O3" s="40">
        <f t="shared" si="0"/>
        <v>950379</v>
      </c>
      <c r="P3" s="41">
        <f>Q3-O3</f>
        <v>1851531.6183100003</v>
      </c>
      <c r="Q3" s="40">
        <f t="shared" si="1"/>
        <v>2801910.6183100003</v>
      </c>
      <c r="R3" s="42">
        <f t="shared" si="2"/>
        <v>4.2525149999999998</v>
      </c>
      <c r="T3" s="39">
        <f>T2-1</f>
        <v>2021</v>
      </c>
      <c r="U3" s="43">
        <f t="shared" ref="U3:U22" si="4">SUMIFS($D:$D,$L:$L,$T3,$A:$A,"JCP")</f>
        <v>629109.17102999997</v>
      </c>
      <c r="V3" s="44">
        <f>W3-U3</f>
        <v>1211082.2621800001</v>
      </c>
      <c r="W3" s="43">
        <f t="shared" ref="W3:W22" si="5">SUMIF($L:$L,$T3,$D:$D)</f>
        <v>1840191.4332099999</v>
      </c>
      <c r="X3" s="43">
        <f t="shared" si="3"/>
        <v>877567</v>
      </c>
      <c r="Y3" s="45">
        <f t="shared" ref="Y3:Y23" si="6">IFERROR(IF(W3/X3&lt;0,"N/A",W3/X3),"N/A")</f>
        <v>2.0969241473414564</v>
      </c>
    </row>
    <row r="4" spans="1:25" s="23" customFormat="1" x14ac:dyDescent="0.35">
      <c r="A4" s="32" t="s">
        <v>1</v>
      </c>
      <c r="B4" s="33">
        <v>44503</v>
      </c>
      <c r="C4" s="34">
        <v>44516</v>
      </c>
      <c r="D4" s="35">
        <v>348803</v>
      </c>
      <c r="E4" s="36">
        <v>0.52938600000000002</v>
      </c>
      <c r="F4" s="37"/>
      <c r="G4" s="37"/>
      <c r="H4" s="37"/>
      <c r="I4" s="38"/>
      <c r="K4" s="24">
        <f t="shared" ref="K4:K67" si="7">YEAR(C4)</f>
        <v>2021</v>
      </c>
      <c r="L4" s="24">
        <v>2021</v>
      </c>
      <c r="N4" s="25">
        <f t="shared" ref="N4:N22" si="8">N3-1</f>
        <v>2020</v>
      </c>
      <c r="O4" s="26">
        <f t="shared" si="0"/>
        <v>258178.36</v>
      </c>
      <c r="P4" s="27">
        <f t="shared" ref="P4:P22" si="9">Q4-O4</f>
        <v>444000</v>
      </c>
      <c r="Q4" s="26">
        <f t="shared" si="1"/>
        <v>702178.36</v>
      </c>
      <c r="R4" s="28">
        <f t="shared" si="2"/>
        <v>1.0657099999999999</v>
      </c>
      <c r="T4" s="25">
        <f t="shared" ref="T4:T22" si="10">T3-1</f>
        <v>2020</v>
      </c>
      <c r="U4" s="29">
        <f t="shared" si="4"/>
        <v>586180</v>
      </c>
      <c r="V4" s="30">
        <f t="shared" ref="V4:V22" si="11">W4-U4</f>
        <v>1084449.35613</v>
      </c>
      <c r="W4" s="29">
        <f t="shared" si="5"/>
        <v>1670629.35613</v>
      </c>
      <c r="X4" s="29">
        <f t="shared" si="3"/>
        <v>2002390</v>
      </c>
      <c r="Y4" s="31">
        <f t="shared" si="6"/>
        <v>0.83431766845120081</v>
      </c>
    </row>
    <row r="5" spans="1:25" s="23" customFormat="1" x14ac:dyDescent="0.35">
      <c r="A5" s="32" t="s">
        <v>0</v>
      </c>
      <c r="B5" s="33">
        <v>44504</v>
      </c>
      <c r="C5" s="34">
        <v>44517</v>
      </c>
      <c r="D5" s="46">
        <v>514532</v>
      </c>
      <c r="E5" s="36">
        <v>0.78091500000000003</v>
      </c>
      <c r="F5" s="37"/>
      <c r="G5" s="37"/>
      <c r="H5" s="37"/>
      <c r="I5" s="38"/>
      <c r="K5" s="24">
        <f t="shared" si="7"/>
        <v>2021</v>
      </c>
      <c r="L5" s="24">
        <v>2021</v>
      </c>
      <c r="N5" s="39">
        <f t="shared" si="8"/>
        <v>2019</v>
      </c>
      <c r="O5" s="40">
        <f t="shared" si="0"/>
        <v>593858.45900000003</v>
      </c>
      <c r="P5" s="41">
        <f t="shared" si="9"/>
        <v>293555.57199999993</v>
      </c>
      <c r="Q5" s="40">
        <f t="shared" si="1"/>
        <v>887414.03099999996</v>
      </c>
      <c r="R5" s="42">
        <f t="shared" si="2"/>
        <v>1.3468469999999999</v>
      </c>
      <c r="T5" s="39">
        <f t="shared" si="10"/>
        <v>2019</v>
      </c>
      <c r="U5" s="43">
        <f t="shared" si="4"/>
        <v>701703.81900000002</v>
      </c>
      <c r="V5" s="44">
        <f t="shared" si="11"/>
        <v>293555.57199999993</v>
      </c>
      <c r="W5" s="43">
        <f t="shared" si="5"/>
        <v>995259.39099999995</v>
      </c>
      <c r="X5" s="43">
        <f t="shared" si="3"/>
        <v>1221830</v>
      </c>
      <c r="Y5" s="45">
        <f t="shared" si="6"/>
        <v>0.8145645392566887</v>
      </c>
    </row>
    <row r="6" spans="1:25" x14ac:dyDescent="0.35">
      <c r="A6" s="32" t="s">
        <v>1</v>
      </c>
      <c r="B6" s="33">
        <v>44384</v>
      </c>
      <c r="C6" s="34">
        <v>44392</v>
      </c>
      <c r="D6" s="46">
        <f>331116533.36/1000</f>
        <v>331116.53336</v>
      </c>
      <c r="E6" s="36">
        <v>0.50254200000000004</v>
      </c>
      <c r="F6" s="37"/>
      <c r="G6" s="37"/>
      <c r="H6" s="37"/>
      <c r="I6" s="38"/>
      <c r="K6" s="24">
        <f t="shared" si="7"/>
        <v>2021</v>
      </c>
      <c r="L6" s="24">
        <v>2021</v>
      </c>
      <c r="N6" s="25">
        <f t="shared" si="8"/>
        <v>2018</v>
      </c>
      <c r="O6" s="26">
        <f t="shared" si="0"/>
        <v>592000</v>
      </c>
      <c r="P6" s="27">
        <f t="shared" si="9"/>
        <v>1477999</v>
      </c>
      <c r="Q6" s="26">
        <f t="shared" si="1"/>
        <v>2069999</v>
      </c>
      <c r="R6" s="28">
        <f t="shared" si="2"/>
        <v>12.566718</v>
      </c>
      <c r="T6" s="25">
        <f t="shared" si="10"/>
        <v>2018</v>
      </c>
      <c r="U6" s="29">
        <f t="shared" si="4"/>
        <v>592000</v>
      </c>
      <c r="V6" s="30">
        <f t="shared" si="11"/>
        <v>1393306</v>
      </c>
      <c r="W6" s="29">
        <f t="shared" si="5"/>
        <v>1985306</v>
      </c>
      <c r="X6" s="29">
        <f t="shared" si="3"/>
        <v>1276311</v>
      </c>
      <c r="Y6" s="31">
        <f t="shared" si="6"/>
        <v>1.555503321682568</v>
      </c>
    </row>
    <row r="7" spans="1:25" x14ac:dyDescent="0.35">
      <c r="A7" s="32" t="s">
        <v>9</v>
      </c>
      <c r="B7" s="47">
        <v>44253</v>
      </c>
      <c r="C7" s="47">
        <v>44337</v>
      </c>
      <c r="D7" s="46">
        <f>531162728.82/1000</f>
        <v>531162.72881999996</v>
      </c>
      <c r="E7" s="36">
        <v>0.80615599999999998</v>
      </c>
      <c r="F7" s="37"/>
      <c r="G7" s="37"/>
      <c r="H7" s="37"/>
      <c r="I7" s="38"/>
      <c r="K7" s="24">
        <f t="shared" si="7"/>
        <v>2021</v>
      </c>
      <c r="L7" s="24">
        <v>2021</v>
      </c>
      <c r="N7" s="39">
        <f t="shared" si="8"/>
        <v>2017</v>
      </c>
      <c r="O7" s="40">
        <f t="shared" si="0"/>
        <v>0</v>
      </c>
      <c r="P7" s="41">
        <f t="shared" si="9"/>
        <v>637900</v>
      </c>
      <c r="Q7" s="40">
        <f t="shared" si="1"/>
        <v>637900</v>
      </c>
      <c r="R7" s="42">
        <f t="shared" si="2"/>
        <v>3.872614</v>
      </c>
      <c r="T7" s="39">
        <f t="shared" si="10"/>
        <v>2017</v>
      </c>
      <c r="U7" s="43">
        <f t="shared" si="4"/>
        <v>0</v>
      </c>
      <c r="V7" s="44">
        <f t="shared" si="11"/>
        <v>585093</v>
      </c>
      <c r="W7" s="43">
        <f t="shared" si="5"/>
        <v>585093</v>
      </c>
      <c r="X7" s="43">
        <f t="shared" si="3"/>
        <v>615474</v>
      </c>
      <c r="Y7" s="45">
        <f t="shared" si="6"/>
        <v>0.95063804482398928</v>
      </c>
    </row>
    <row r="8" spans="1:25" x14ac:dyDescent="0.35">
      <c r="A8" s="48"/>
      <c r="B8" s="33"/>
      <c r="C8" s="34"/>
      <c r="D8" s="46"/>
      <c r="E8" s="36"/>
      <c r="F8" s="37"/>
      <c r="G8" s="37"/>
      <c r="H8" s="37"/>
      <c r="I8" s="38"/>
      <c r="K8" s="24"/>
      <c r="L8" s="24"/>
      <c r="N8" s="25">
        <f t="shared" si="8"/>
        <v>2016</v>
      </c>
      <c r="O8" s="26">
        <f t="shared" si="0"/>
        <v>0</v>
      </c>
      <c r="P8" s="27">
        <f t="shared" si="9"/>
        <v>110000</v>
      </c>
      <c r="Q8" s="26">
        <f t="shared" si="1"/>
        <v>110000</v>
      </c>
      <c r="R8" s="28">
        <f t="shared" si="2"/>
        <v>0.66779699999999997</v>
      </c>
      <c r="T8" s="25">
        <f t="shared" si="10"/>
        <v>2016</v>
      </c>
      <c r="U8" s="29">
        <f t="shared" si="4"/>
        <v>0</v>
      </c>
      <c r="V8" s="30">
        <f t="shared" si="11"/>
        <v>247500</v>
      </c>
      <c r="W8" s="29">
        <f t="shared" si="5"/>
        <v>247500</v>
      </c>
      <c r="X8" s="29">
        <f t="shared" si="3"/>
        <v>228785</v>
      </c>
      <c r="Y8" s="31">
        <f t="shared" si="6"/>
        <v>1.081801691544463</v>
      </c>
    </row>
    <row r="9" spans="1:25" s="23" customFormat="1" x14ac:dyDescent="0.35">
      <c r="A9" s="14">
        <v>2020</v>
      </c>
      <c r="B9" s="15"/>
      <c r="C9" s="16"/>
      <c r="D9" s="17">
        <f>SUM(D10:D15)</f>
        <v>1670629.35613</v>
      </c>
      <c r="E9" s="18">
        <f>SUM(E10:E15)</f>
        <v>2.5355469999999998</v>
      </c>
      <c r="F9" s="19">
        <v>3361503</v>
      </c>
      <c r="G9" s="20">
        <f>D9/F9</f>
        <v>0.49698880415397517</v>
      </c>
      <c r="H9" s="21">
        <v>2002390</v>
      </c>
      <c r="I9" s="22">
        <f>D9/H9</f>
        <v>0.83431766845120081</v>
      </c>
      <c r="K9" s="24"/>
      <c r="L9" s="24"/>
      <c r="N9" s="39">
        <f t="shared" si="8"/>
        <v>2015</v>
      </c>
      <c r="O9" s="40">
        <f t="shared" si="0"/>
        <v>0</v>
      </c>
      <c r="P9" s="41">
        <f t="shared" si="9"/>
        <v>365894</v>
      </c>
      <c r="Q9" s="40">
        <f t="shared" si="1"/>
        <v>365894</v>
      </c>
      <c r="R9" s="42">
        <f t="shared" si="2"/>
        <v>2.2689779999999997</v>
      </c>
      <c r="T9" s="39">
        <f t="shared" si="10"/>
        <v>2015</v>
      </c>
      <c r="U9" s="43">
        <f t="shared" si="4"/>
        <v>0</v>
      </c>
      <c r="V9" s="44">
        <f t="shared" si="11"/>
        <v>334865</v>
      </c>
      <c r="W9" s="43">
        <f t="shared" si="5"/>
        <v>334865</v>
      </c>
      <c r="X9" s="43">
        <f t="shared" si="3"/>
        <v>271887</v>
      </c>
      <c r="Y9" s="45">
        <f t="shared" si="6"/>
        <v>1.231632994589664</v>
      </c>
    </row>
    <row r="10" spans="1:25" s="23" customFormat="1" x14ac:dyDescent="0.35">
      <c r="A10" s="49" t="s">
        <v>9</v>
      </c>
      <c r="B10" s="50">
        <v>44286</v>
      </c>
      <c r="C10" s="50">
        <v>44337</v>
      </c>
      <c r="D10" s="51">
        <f>524449656.13/1000</f>
        <v>524449.65613000002</v>
      </c>
      <c r="E10" s="52">
        <v>0.79596699999999998</v>
      </c>
      <c r="F10" s="53"/>
      <c r="G10" s="54"/>
      <c r="H10" s="54"/>
      <c r="I10" s="55"/>
      <c r="K10" s="24">
        <f t="shared" si="7"/>
        <v>2021</v>
      </c>
      <c r="L10" s="24">
        <v>2020</v>
      </c>
      <c r="N10" s="25">
        <f t="shared" si="8"/>
        <v>2014</v>
      </c>
      <c r="O10" s="26">
        <f t="shared" si="0"/>
        <v>230000</v>
      </c>
      <c r="P10" s="27">
        <f t="shared" si="9"/>
        <v>195000</v>
      </c>
      <c r="Q10" s="26">
        <f t="shared" si="1"/>
        <v>425000</v>
      </c>
      <c r="R10" s="28">
        <f t="shared" si="2"/>
        <v>2.7263120000000001</v>
      </c>
      <c r="T10" s="25">
        <f t="shared" si="10"/>
        <v>2014</v>
      </c>
      <c r="U10" s="29">
        <f t="shared" si="4"/>
        <v>30000</v>
      </c>
      <c r="V10" s="30">
        <f t="shared" si="11"/>
        <v>196029</v>
      </c>
      <c r="W10" s="29">
        <f t="shared" si="5"/>
        <v>226029</v>
      </c>
      <c r="X10" s="29">
        <f t="shared" si="3"/>
        <v>248140</v>
      </c>
      <c r="Y10" s="31">
        <f t="shared" si="6"/>
        <v>0.91089304424921413</v>
      </c>
    </row>
    <row r="11" spans="1:25" s="23" customFormat="1" x14ac:dyDescent="0.35">
      <c r="A11" s="49" t="s">
        <v>1</v>
      </c>
      <c r="B11" s="50">
        <v>44182</v>
      </c>
      <c r="C11" s="50">
        <v>44214</v>
      </c>
      <c r="D11" s="51">
        <v>115999.7</v>
      </c>
      <c r="E11" s="52">
        <v>0.17605499999999999</v>
      </c>
      <c r="F11" s="53"/>
      <c r="G11" s="54"/>
      <c r="H11" s="54"/>
      <c r="I11" s="55"/>
      <c r="K11" s="24">
        <f t="shared" si="7"/>
        <v>2021</v>
      </c>
      <c r="L11" s="24">
        <v>2020</v>
      </c>
      <c r="N11" s="39">
        <f t="shared" si="8"/>
        <v>2013</v>
      </c>
      <c r="O11" s="40">
        <f t="shared" si="0"/>
        <v>0</v>
      </c>
      <c r="P11" s="41">
        <f t="shared" si="9"/>
        <v>0</v>
      </c>
      <c r="Q11" s="40">
        <f t="shared" si="1"/>
        <v>0</v>
      </c>
      <c r="R11" s="42">
        <f t="shared" si="2"/>
        <v>0</v>
      </c>
      <c r="T11" s="39">
        <f t="shared" si="10"/>
        <v>2013</v>
      </c>
      <c r="U11" s="43">
        <f t="shared" si="4"/>
        <v>200000</v>
      </c>
      <c r="V11" s="44">
        <f t="shared" si="11"/>
        <v>30000</v>
      </c>
      <c r="W11" s="43">
        <f t="shared" si="5"/>
        <v>230000</v>
      </c>
      <c r="X11" s="43">
        <f t="shared" si="3"/>
        <v>-145400</v>
      </c>
      <c r="Y11" s="45" t="str">
        <f t="shared" si="6"/>
        <v>N/A</v>
      </c>
    </row>
    <row r="12" spans="1:25" s="23" customFormat="1" x14ac:dyDescent="0.35">
      <c r="A12" s="49" t="s">
        <v>0</v>
      </c>
      <c r="B12" s="50">
        <v>44182</v>
      </c>
      <c r="C12" s="50">
        <v>44214</v>
      </c>
      <c r="D12" s="56">
        <v>435847</v>
      </c>
      <c r="E12" s="57">
        <v>0.66149400000000003</v>
      </c>
      <c r="F12" s="53"/>
      <c r="G12" s="54"/>
      <c r="H12" s="54"/>
      <c r="I12" s="55"/>
      <c r="K12" s="24">
        <f t="shared" si="7"/>
        <v>2021</v>
      </c>
      <c r="L12" s="24">
        <v>2020</v>
      </c>
      <c r="N12" s="25">
        <f t="shared" si="8"/>
        <v>2012</v>
      </c>
      <c r="O12" s="26">
        <f t="shared" si="0"/>
        <v>128107</v>
      </c>
      <c r="P12" s="27">
        <f t="shared" si="9"/>
        <v>348570</v>
      </c>
      <c r="Q12" s="26">
        <f t="shared" si="1"/>
        <v>476677</v>
      </c>
      <c r="R12" s="28">
        <f t="shared" si="2"/>
        <v>3.122468</v>
      </c>
      <c r="T12" s="25">
        <f t="shared" si="10"/>
        <v>2012</v>
      </c>
      <c r="U12" s="29">
        <f t="shared" si="4"/>
        <v>63949</v>
      </c>
      <c r="V12" s="30">
        <f t="shared" si="11"/>
        <v>178729</v>
      </c>
      <c r="W12" s="29">
        <f t="shared" si="5"/>
        <v>242678</v>
      </c>
      <c r="X12" s="29">
        <f t="shared" si="3"/>
        <v>1004000</v>
      </c>
      <c r="Y12" s="31">
        <f t="shared" si="6"/>
        <v>0.24171115537848606</v>
      </c>
    </row>
    <row r="13" spans="1:25" s="23" customFormat="1" x14ac:dyDescent="0.35">
      <c r="A13" s="49" t="s">
        <v>1</v>
      </c>
      <c r="B13" s="50">
        <v>44140</v>
      </c>
      <c r="C13" s="50">
        <v>44148</v>
      </c>
      <c r="D13" s="56">
        <v>344000</v>
      </c>
      <c r="E13" s="57">
        <v>0.52209499999999998</v>
      </c>
      <c r="F13" s="53"/>
      <c r="G13" s="54"/>
      <c r="H13" s="54"/>
      <c r="I13" s="55"/>
      <c r="K13" s="24">
        <f t="shared" si="7"/>
        <v>2020</v>
      </c>
      <c r="L13" s="24">
        <v>2020</v>
      </c>
      <c r="N13" s="39">
        <f t="shared" si="8"/>
        <v>2011</v>
      </c>
      <c r="O13" s="40">
        <f t="shared" si="0"/>
        <v>253407</v>
      </c>
      <c r="P13" s="41">
        <f t="shared" si="9"/>
        <v>643388</v>
      </c>
      <c r="Q13" s="40">
        <f t="shared" si="1"/>
        <v>896795</v>
      </c>
      <c r="R13" s="42">
        <f t="shared" si="2"/>
        <v>5.9066460000000003</v>
      </c>
      <c r="T13" s="39">
        <f t="shared" si="10"/>
        <v>2011</v>
      </c>
      <c r="U13" s="43">
        <f t="shared" si="4"/>
        <v>188846</v>
      </c>
      <c r="V13" s="44">
        <f t="shared" si="11"/>
        <v>503136</v>
      </c>
      <c r="W13" s="43">
        <f t="shared" si="5"/>
        <v>691982</v>
      </c>
      <c r="X13" s="43">
        <f t="shared" si="3"/>
        <v>805700</v>
      </c>
      <c r="Y13" s="45">
        <f t="shared" si="6"/>
        <v>0.85885813578254933</v>
      </c>
    </row>
    <row r="14" spans="1:25" s="23" customFormat="1" x14ac:dyDescent="0.35">
      <c r="A14" s="49" t="s">
        <v>1</v>
      </c>
      <c r="B14" s="50">
        <v>44019</v>
      </c>
      <c r="C14" s="50">
        <v>44028</v>
      </c>
      <c r="D14" s="51">
        <v>100000</v>
      </c>
      <c r="E14" s="52">
        <v>0.15177199999999999</v>
      </c>
      <c r="F14" s="53"/>
      <c r="G14" s="54"/>
      <c r="H14" s="54"/>
      <c r="I14" s="55"/>
      <c r="K14" s="24">
        <f t="shared" si="7"/>
        <v>2020</v>
      </c>
      <c r="L14" s="24">
        <v>2020</v>
      </c>
      <c r="N14" s="25">
        <f t="shared" si="8"/>
        <v>2010</v>
      </c>
      <c r="O14" s="26">
        <f t="shared" si="0"/>
        <v>188564</v>
      </c>
      <c r="P14" s="27">
        <f t="shared" si="9"/>
        <v>578232</v>
      </c>
      <c r="Q14" s="26">
        <f t="shared" si="1"/>
        <v>766796</v>
      </c>
      <c r="R14" s="28">
        <f t="shared" si="2"/>
        <v>5.0685079999999996</v>
      </c>
      <c r="T14" s="25">
        <f t="shared" si="10"/>
        <v>2010</v>
      </c>
      <c r="U14" s="29">
        <f t="shared" si="4"/>
        <v>255363</v>
      </c>
      <c r="V14" s="30">
        <f t="shared" si="11"/>
        <v>520044</v>
      </c>
      <c r="W14" s="29">
        <f t="shared" si="5"/>
        <v>775407</v>
      </c>
      <c r="X14" s="29">
        <f t="shared" si="3"/>
        <v>812171</v>
      </c>
      <c r="Y14" s="31">
        <f t="shared" si="6"/>
        <v>0.95473367061862591</v>
      </c>
    </row>
    <row r="15" spans="1:25" s="23" customFormat="1" x14ac:dyDescent="0.35">
      <c r="A15" s="49" t="s">
        <v>0</v>
      </c>
      <c r="B15" s="50">
        <v>43938</v>
      </c>
      <c r="C15" s="50">
        <v>43950</v>
      </c>
      <c r="D15" s="51">
        <v>150333</v>
      </c>
      <c r="E15" s="52">
        <v>0.22816400000000001</v>
      </c>
      <c r="F15" s="53"/>
      <c r="G15" s="54"/>
      <c r="H15" s="54"/>
      <c r="I15" s="55"/>
      <c r="K15" s="24">
        <f t="shared" si="7"/>
        <v>2020</v>
      </c>
      <c r="L15" s="24">
        <v>2020</v>
      </c>
      <c r="N15" s="39">
        <f t="shared" si="8"/>
        <v>2009</v>
      </c>
      <c r="O15" s="40">
        <f t="shared" si="0"/>
        <v>250608</v>
      </c>
      <c r="P15" s="41">
        <f t="shared" si="9"/>
        <v>392676</v>
      </c>
      <c r="Q15" s="40">
        <f t="shared" si="1"/>
        <v>643284</v>
      </c>
      <c r="R15" s="42">
        <f t="shared" si="2"/>
        <v>4.2952880000000002</v>
      </c>
      <c r="T15" s="39">
        <f t="shared" si="10"/>
        <v>2009</v>
      </c>
      <c r="U15" s="43">
        <f t="shared" si="4"/>
        <v>312528</v>
      </c>
      <c r="V15" s="44">
        <f t="shared" si="11"/>
        <v>532567</v>
      </c>
      <c r="W15" s="43">
        <f t="shared" si="5"/>
        <v>845095</v>
      </c>
      <c r="X15" s="43">
        <f t="shared" si="3"/>
        <v>861975</v>
      </c>
      <c r="Y15" s="45">
        <f t="shared" si="6"/>
        <v>0.98041706546013518</v>
      </c>
    </row>
    <row r="16" spans="1:25" s="23" customFormat="1" x14ac:dyDescent="0.35">
      <c r="A16" s="49"/>
      <c r="B16" s="50"/>
      <c r="C16" s="50"/>
      <c r="D16" s="56"/>
      <c r="E16" s="57"/>
      <c r="F16" s="53"/>
      <c r="G16" s="54"/>
      <c r="H16" s="54"/>
      <c r="I16" s="55"/>
      <c r="K16" s="24"/>
      <c r="L16" s="24"/>
      <c r="N16" s="25">
        <f t="shared" si="8"/>
        <v>2008</v>
      </c>
      <c r="O16" s="26">
        <f t="shared" si="0"/>
        <v>279018</v>
      </c>
      <c r="P16" s="27">
        <f t="shared" si="9"/>
        <v>436611.12388999993</v>
      </c>
      <c r="Q16" s="26">
        <f t="shared" si="1"/>
        <v>715629.12388999993</v>
      </c>
      <c r="R16" s="28">
        <f t="shared" si="2"/>
        <v>4.7937349999999999</v>
      </c>
      <c r="T16" s="25">
        <f t="shared" si="10"/>
        <v>2008</v>
      </c>
      <c r="U16" s="29">
        <f t="shared" si="4"/>
        <v>239896</v>
      </c>
      <c r="V16" s="30">
        <f t="shared" si="11"/>
        <v>495001</v>
      </c>
      <c r="W16" s="29">
        <f t="shared" si="5"/>
        <v>734897</v>
      </c>
      <c r="X16" s="29">
        <f t="shared" si="3"/>
        <v>827065</v>
      </c>
      <c r="Y16" s="31">
        <f t="shared" si="6"/>
        <v>0.88856014944411865</v>
      </c>
    </row>
    <row r="17" spans="1:25" s="23" customFormat="1" x14ac:dyDescent="0.35">
      <c r="A17" s="14">
        <v>2019</v>
      </c>
      <c r="B17" s="15"/>
      <c r="C17" s="16"/>
      <c r="D17" s="17">
        <f>SUM(D18:D21)</f>
        <v>995259.39099999995</v>
      </c>
      <c r="E17" s="18">
        <f>SUM(E18:E21)</f>
        <v>1.510526</v>
      </c>
      <c r="F17" s="19">
        <v>1762631</v>
      </c>
      <c r="G17" s="20">
        <f>D17/F17</f>
        <v>0.56464421140896759</v>
      </c>
      <c r="H17" s="21">
        <v>1221830</v>
      </c>
      <c r="I17" s="22">
        <f>D17/H17</f>
        <v>0.8145645392566887</v>
      </c>
      <c r="K17" s="24"/>
      <c r="L17" s="24"/>
      <c r="N17" s="39">
        <f t="shared" si="8"/>
        <v>2007</v>
      </c>
      <c r="O17" s="40">
        <f t="shared" si="0"/>
        <v>226791.84108000001</v>
      </c>
      <c r="P17" s="41">
        <f t="shared" si="9"/>
        <v>559357.04971999989</v>
      </c>
      <c r="Q17" s="40">
        <f t="shared" si="1"/>
        <v>786148.89079999994</v>
      </c>
      <c r="R17" s="42">
        <f t="shared" si="2"/>
        <v>5.2660929999999997</v>
      </c>
      <c r="T17" s="39">
        <f t="shared" si="10"/>
        <v>2007</v>
      </c>
      <c r="U17" s="43">
        <f t="shared" si="4"/>
        <v>238736.84108000001</v>
      </c>
      <c r="V17" s="44">
        <f t="shared" si="11"/>
        <v>668758.58105999988</v>
      </c>
      <c r="W17" s="43">
        <f t="shared" si="5"/>
        <v>907495.42213999992</v>
      </c>
      <c r="X17" s="43">
        <f t="shared" si="3"/>
        <v>855483</v>
      </c>
      <c r="Y17" s="45">
        <f t="shared" si="6"/>
        <v>1.0607988962258748</v>
      </c>
    </row>
    <row r="18" spans="1:25" x14ac:dyDescent="0.35">
      <c r="A18" s="32" t="s">
        <v>0</v>
      </c>
      <c r="B18" s="47">
        <v>43815</v>
      </c>
      <c r="C18" s="47">
        <v>43850</v>
      </c>
      <c r="D18" s="35">
        <v>107845.36</v>
      </c>
      <c r="E18" s="36">
        <v>0.16367899999999999</v>
      </c>
      <c r="F18" s="37"/>
      <c r="G18" s="37"/>
      <c r="H18" s="37"/>
      <c r="I18" s="38"/>
      <c r="K18" s="24">
        <f t="shared" si="7"/>
        <v>2020</v>
      </c>
      <c r="L18" s="24">
        <v>2019</v>
      </c>
      <c r="N18" s="25">
        <f t="shared" si="8"/>
        <v>2006</v>
      </c>
      <c r="O18" s="26">
        <f t="shared" si="0"/>
        <v>90000</v>
      </c>
      <c r="P18" s="27">
        <f t="shared" si="9"/>
        <v>97300</v>
      </c>
      <c r="Q18" s="26">
        <f t="shared" si="1"/>
        <v>187300</v>
      </c>
      <c r="R18" s="28">
        <f t="shared" si="2"/>
        <v>1.2546460000000002</v>
      </c>
      <c r="T18" s="25">
        <f t="shared" si="10"/>
        <v>2006</v>
      </c>
      <c r="U18" s="29">
        <f t="shared" si="4"/>
        <v>27177</v>
      </c>
      <c r="V18" s="30">
        <f t="shared" si="11"/>
        <v>157898.59255</v>
      </c>
      <c r="W18" s="29">
        <f t="shared" si="5"/>
        <v>185075.59255</v>
      </c>
      <c r="X18" s="29">
        <f t="shared" si="3"/>
        <v>117752</v>
      </c>
      <c r="Y18" s="31">
        <f t="shared" si="6"/>
        <v>1.5717405441096541</v>
      </c>
    </row>
    <row r="19" spans="1:25" x14ac:dyDescent="0.35">
      <c r="A19" s="32" t="s">
        <v>1</v>
      </c>
      <c r="B19" s="47">
        <v>43780</v>
      </c>
      <c r="C19" s="47">
        <v>43802</v>
      </c>
      <c r="D19" s="35">
        <v>293555.57199999999</v>
      </c>
      <c r="E19" s="36">
        <v>0.44553500000000001</v>
      </c>
      <c r="F19" s="37"/>
      <c r="G19" s="37"/>
      <c r="H19" s="37"/>
      <c r="I19" s="38"/>
      <c r="K19" s="24">
        <f t="shared" si="7"/>
        <v>2019</v>
      </c>
      <c r="L19" s="24">
        <v>2019</v>
      </c>
      <c r="N19" s="39">
        <f t="shared" si="8"/>
        <v>2005</v>
      </c>
      <c r="O19" s="40">
        <f t="shared" si="0"/>
        <v>224354</v>
      </c>
      <c r="P19" s="41">
        <f t="shared" si="9"/>
        <v>0</v>
      </c>
      <c r="Q19" s="40">
        <f t="shared" si="1"/>
        <v>224354</v>
      </c>
      <c r="R19" s="42">
        <f t="shared" si="2"/>
        <v>1.5028556000000002</v>
      </c>
      <c r="T19" s="39">
        <f t="shared" si="10"/>
        <v>2005</v>
      </c>
      <c r="U19" s="43">
        <f t="shared" si="4"/>
        <v>239354</v>
      </c>
      <c r="V19" s="44">
        <f t="shared" si="11"/>
        <v>0</v>
      </c>
      <c r="W19" s="43">
        <f t="shared" si="5"/>
        <v>239354</v>
      </c>
      <c r="X19" s="43">
        <f t="shared" si="3"/>
        <v>468277</v>
      </c>
      <c r="Y19" s="45">
        <f t="shared" si="6"/>
        <v>0.51113763861987671</v>
      </c>
    </row>
    <row r="20" spans="1:25" x14ac:dyDescent="0.35">
      <c r="A20" s="32" t="s">
        <v>0</v>
      </c>
      <c r="B20" s="47">
        <v>43780</v>
      </c>
      <c r="C20" s="47">
        <v>43802</v>
      </c>
      <c r="D20" s="35">
        <v>223444.459</v>
      </c>
      <c r="E20" s="36">
        <v>0.33912599999999998</v>
      </c>
      <c r="F20" s="37"/>
      <c r="G20" s="37"/>
      <c r="H20" s="37"/>
      <c r="I20" s="58"/>
      <c r="K20" s="24">
        <f t="shared" si="7"/>
        <v>2019</v>
      </c>
      <c r="L20" s="24">
        <v>2019</v>
      </c>
      <c r="N20" s="25">
        <f t="shared" si="8"/>
        <v>2004</v>
      </c>
      <c r="O20" s="26">
        <f t="shared" si="0"/>
        <v>147249</v>
      </c>
      <c r="P20" s="27">
        <f t="shared" si="9"/>
        <v>0</v>
      </c>
      <c r="Q20" s="26">
        <f t="shared" si="1"/>
        <v>147249</v>
      </c>
      <c r="R20" s="28">
        <f t="shared" si="2"/>
        <v>0.98636140000000005</v>
      </c>
      <c r="T20" s="25">
        <f t="shared" si="10"/>
        <v>2004</v>
      </c>
      <c r="U20" s="29">
        <f t="shared" si="4"/>
        <v>75000</v>
      </c>
      <c r="V20" s="30">
        <f t="shared" si="11"/>
        <v>0</v>
      </c>
      <c r="W20" s="29">
        <f t="shared" si="5"/>
        <v>75000</v>
      </c>
      <c r="X20" s="29">
        <f t="shared" si="3"/>
        <v>348778</v>
      </c>
      <c r="Y20" s="31">
        <f t="shared" si="6"/>
        <v>0.21503649886174014</v>
      </c>
    </row>
    <row r="21" spans="1:25" x14ac:dyDescent="0.35">
      <c r="A21" s="32" t="s">
        <v>0</v>
      </c>
      <c r="B21" s="47">
        <v>43682</v>
      </c>
      <c r="C21" s="47">
        <v>43696</v>
      </c>
      <c r="D21" s="35">
        <v>370414</v>
      </c>
      <c r="E21" s="36">
        <v>0.56218599999999996</v>
      </c>
      <c r="F21" s="37"/>
      <c r="G21" s="37"/>
      <c r="H21" s="37"/>
      <c r="I21" s="58"/>
      <c r="K21" s="24">
        <f t="shared" si="7"/>
        <v>2019</v>
      </c>
      <c r="L21" s="24">
        <v>2019</v>
      </c>
      <c r="N21" s="39">
        <f t="shared" si="8"/>
        <v>2003</v>
      </c>
      <c r="O21" s="40">
        <f t="shared" si="0"/>
        <v>50000</v>
      </c>
      <c r="P21" s="41">
        <f t="shared" si="9"/>
        <v>12782.077160000001</v>
      </c>
      <c r="Q21" s="40">
        <f t="shared" si="1"/>
        <v>62782.077160000001</v>
      </c>
      <c r="R21" s="42">
        <f t="shared" si="2"/>
        <v>0.42055089999999995</v>
      </c>
      <c r="T21" s="39">
        <f t="shared" si="10"/>
        <v>2003</v>
      </c>
      <c r="U21" s="43">
        <f t="shared" si="4"/>
        <v>147249</v>
      </c>
      <c r="V21" s="44">
        <f t="shared" si="11"/>
        <v>0</v>
      </c>
      <c r="W21" s="43">
        <f t="shared" si="5"/>
        <v>147249</v>
      </c>
      <c r="X21" s="43">
        <f t="shared" si="3"/>
        <v>222376</v>
      </c>
      <c r="Y21" s="45">
        <f t="shared" si="6"/>
        <v>0.66216228369967978</v>
      </c>
    </row>
    <row r="22" spans="1:25" s="23" customFormat="1" x14ac:dyDescent="0.35">
      <c r="A22" s="59"/>
      <c r="B22" s="37"/>
      <c r="C22" s="47"/>
      <c r="D22" s="35"/>
      <c r="E22" s="36"/>
      <c r="F22" s="37"/>
      <c r="G22" s="37"/>
      <c r="H22" s="37"/>
      <c r="I22" s="60"/>
      <c r="K22" s="24"/>
      <c r="L22" s="24"/>
      <c r="N22" s="25">
        <f t="shared" si="8"/>
        <v>2002</v>
      </c>
      <c r="O22" s="26">
        <f t="shared" si="0"/>
        <v>86353</v>
      </c>
      <c r="P22" s="27">
        <f t="shared" si="9"/>
        <v>0</v>
      </c>
      <c r="Q22" s="26">
        <f t="shared" si="1"/>
        <v>86353</v>
      </c>
      <c r="R22" s="28">
        <f t="shared" si="2"/>
        <v>0.57844300000000004</v>
      </c>
      <c r="T22" s="25">
        <f t="shared" si="10"/>
        <v>2002</v>
      </c>
      <c r="U22" s="29">
        <f t="shared" si="4"/>
        <v>136353</v>
      </c>
      <c r="V22" s="30">
        <f t="shared" si="11"/>
        <v>12782.077159999986</v>
      </c>
      <c r="W22" s="29">
        <f t="shared" si="5"/>
        <v>149135.07715999999</v>
      </c>
      <c r="X22" s="29">
        <f t="shared" si="3"/>
        <v>168137</v>
      </c>
      <c r="Y22" s="31">
        <f t="shared" si="6"/>
        <v>0.88698547708118969</v>
      </c>
    </row>
    <row r="23" spans="1:25" s="23" customFormat="1" x14ac:dyDescent="0.35">
      <c r="A23" s="14">
        <v>2018</v>
      </c>
      <c r="B23" s="15"/>
      <c r="C23" s="16"/>
      <c r="D23" s="17">
        <f>SUM(D24:D26)</f>
        <v>1985306</v>
      </c>
      <c r="E23" s="18">
        <f>SUM(E24:E26)</f>
        <v>12.052554000000001</v>
      </c>
      <c r="F23" s="19">
        <v>1881668</v>
      </c>
      <c r="G23" s="20">
        <f>D23/F23</f>
        <v>1.0550777289086066</v>
      </c>
      <c r="H23" s="21">
        <v>1276311</v>
      </c>
      <c r="I23" s="22">
        <f>D23/H23</f>
        <v>1.555503321682568</v>
      </c>
      <c r="K23" s="24"/>
      <c r="L23" s="24"/>
      <c r="N23" s="61" t="s">
        <v>13</v>
      </c>
      <c r="O23" s="62">
        <f>SUM(O2:O22)</f>
        <v>4663444.8311100006</v>
      </c>
      <c r="P23" s="62">
        <f>SUM(P2:P22)</f>
        <v>8444796.4410800003</v>
      </c>
      <c r="Q23" s="62">
        <f>SUM(Q2:Q22)</f>
        <v>13108241.272189999</v>
      </c>
      <c r="R23" s="63">
        <f>SUM(R2:R22)</f>
        <v>62.136981900000002</v>
      </c>
      <c r="T23" s="64" t="s">
        <v>13</v>
      </c>
      <c r="U23" s="65">
        <f>SUM(U2:U22)</f>
        <v>4663444.8311100006</v>
      </c>
      <c r="V23" s="65">
        <f>SUM(V2:V22)</f>
        <v>8444796.4410800003</v>
      </c>
      <c r="W23" s="65">
        <f>SUM(W2:W22)</f>
        <v>13108241.272190001</v>
      </c>
      <c r="X23" s="65">
        <f>SUM(X2:X22)</f>
        <v>13088698</v>
      </c>
      <c r="Y23" s="66">
        <f t="shared" si="6"/>
        <v>1.0014931410435171</v>
      </c>
    </row>
    <row r="24" spans="1:25" s="23" customFormat="1" x14ac:dyDescent="0.35">
      <c r="A24" s="49" t="s">
        <v>1</v>
      </c>
      <c r="B24" s="50">
        <v>43441</v>
      </c>
      <c r="C24" s="50">
        <v>43451</v>
      </c>
      <c r="D24" s="51">
        <v>633000</v>
      </c>
      <c r="E24" s="52">
        <v>3.8428659999999999</v>
      </c>
      <c r="F24" s="53"/>
      <c r="G24" s="54"/>
      <c r="H24" s="54"/>
      <c r="I24" s="55"/>
      <c r="K24" s="24">
        <f t="shared" si="7"/>
        <v>2018</v>
      </c>
      <c r="L24" s="24">
        <v>2018</v>
      </c>
      <c r="N24" s="24"/>
      <c r="O24" s="24"/>
      <c r="P24" s="24"/>
      <c r="Q24" s="67">
        <f>Q23-SUM($D2,$D9,$D17,$D23,$D28,$D33,$D37,$D41,$D46,$D50,$D56,$D64,$D75,$D87,$D98,$D107,$D112,$D117,$D120,$D123)</f>
        <v>0</v>
      </c>
      <c r="R24" s="67">
        <f>R23-SUM($E2,$E9,$E17,$E23,$E28,$E33,$E37,$E41,$E46,$E50,$E56,$E64,$E75,$E87,$E98,$E107,$E112,$E117,$E120,$E123)</f>
        <v>0</v>
      </c>
      <c r="T24" s="24"/>
      <c r="U24" s="24"/>
      <c r="V24" s="24"/>
      <c r="W24" s="67">
        <f>W23-SUM($D2,$D9,$D17,$D23,$D28,$D33,$D37,$D41,$D46,$D50,$D56,$D64,$D75,$D87,$D98,$D107,$D112,$D117,$D120,$D123)</f>
        <v>0</v>
      </c>
      <c r="X24" s="67"/>
      <c r="Y24" s="68"/>
    </row>
    <row r="25" spans="1:25" s="23" customFormat="1" x14ac:dyDescent="0.35">
      <c r="A25" s="49" t="s">
        <v>0</v>
      </c>
      <c r="B25" s="50">
        <v>43441</v>
      </c>
      <c r="C25" s="50">
        <v>43451</v>
      </c>
      <c r="D25" s="51">
        <v>592000</v>
      </c>
      <c r="E25" s="52">
        <v>3.59396</v>
      </c>
      <c r="F25" s="53"/>
      <c r="G25" s="54"/>
      <c r="H25" s="54"/>
      <c r="I25" s="55"/>
      <c r="K25" s="24">
        <f t="shared" si="7"/>
        <v>2018</v>
      </c>
      <c r="L25" s="24">
        <v>2018</v>
      </c>
      <c r="Y25" s="69"/>
    </row>
    <row r="26" spans="1:25" s="23" customFormat="1" x14ac:dyDescent="0.35">
      <c r="A26" s="49" t="s">
        <v>9</v>
      </c>
      <c r="B26" s="50">
        <v>43257</v>
      </c>
      <c r="C26" s="50">
        <v>43269</v>
      </c>
      <c r="D26" s="56">
        <v>760306</v>
      </c>
      <c r="E26" s="57">
        <v>4.6157279999999998</v>
      </c>
      <c r="F26" s="53"/>
      <c r="G26" s="54"/>
      <c r="H26" s="54"/>
      <c r="I26" s="55"/>
      <c r="K26" s="24">
        <f t="shared" si="7"/>
        <v>2018</v>
      </c>
      <c r="L26" s="24">
        <v>2018</v>
      </c>
      <c r="N26" s="24"/>
      <c r="O26" s="24"/>
      <c r="P26" s="24"/>
      <c r="T26" s="24"/>
      <c r="U26" s="24"/>
      <c r="V26" s="24"/>
      <c r="Y26" s="69"/>
    </row>
    <row r="27" spans="1:25" s="23" customFormat="1" x14ac:dyDescent="0.35">
      <c r="A27" s="70"/>
      <c r="B27" s="71"/>
      <c r="C27" s="72"/>
      <c r="D27" s="73"/>
      <c r="E27" s="74"/>
      <c r="F27" s="53"/>
      <c r="G27" s="54"/>
      <c r="H27" s="54"/>
      <c r="I27" s="55"/>
      <c r="K27" s="24"/>
      <c r="L27" s="24"/>
      <c r="N27" s="24"/>
      <c r="O27" s="24"/>
      <c r="P27" s="24"/>
      <c r="T27" s="24"/>
      <c r="U27" s="24"/>
      <c r="V27" s="24"/>
      <c r="Y27" s="69"/>
    </row>
    <row r="28" spans="1:25" s="23" customFormat="1" x14ac:dyDescent="0.35">
      <c r="A28" s="75">
        <v>2017</v>
      </c>
      <c r="B28" s="76"/>
      <c r="C28" s="77"/>
      <c r="D28" s="78">
        <f>SUM(D29:D31)</f>
        <v>585093</v>
      </c>
      <c r="E28" s="18">
        <f>SUM(E29:E31)</f>
        <v>3.5520320000000001</v>
      </c>
      <c r="F28" s="21">
        <v>1365512</v>
      </c>
      <c r="G28" s="20">
        <f>D28/(F28)</f>
        <v>0.42847884163595779</v>
      </c>
      <c r="H28" s="21">
        <v>615474</v>
      </c>
      <c r="I28" s="22">
        <f>D28/H28</f>
        <v>0.95063804482398928</v>
      </c>
      <c r="J28" s="79"/>
      <c r="K28" s="24"/>
      <c r="L28" s="24"/>
      <c r="N28" s="24"/>
      <c r="O28" s="24"/>
      <c r="P28" s="24"/>
      <c r="T28" s="24"/>
      <c r="U28" s="24"/>
      <c r="V28" s="24"/>
      <c r="Y28" s="69"/>
    </row>
    <row r="29" spans="1:25" x14ac:dyDescent="0.35">
      <c r="A29" s="32" t="s">
        <v>1</v>
      </c>
      <c r="B29" s="47">
        <v>43208</v>
      </c>
      <c r="C29" s="47">
        <v>43266</v>
      </c>
      <c r="D29" s="35">
        <v>84693</v>
      </c>
      <c r="E29" s="36">
        <v>0.51416399999999995</v>
      </c>
      <c r="F29" s="80"/>
      <c r="G29" s="80"/>
      <c r="H29" s="37"/>
      <c r="I29" s="38"/>
      <c r="K29" s="24">
        <f t="shared" si="7"/>
        <v>2018</v>
      </c>
      <c r="L29" s="24">
        <v>2017</v>
      </c>
    </row>
    <row r="30" spans="1:25" x14ac:dyDescent="0.35">
      <c r="A30" s="32" t="s">
        <v>1</v>
      </c>
      <c r="B30" s="47">
        <v>43060</v>
      </c>
      <c r="C30" s="47">
        <v>43067</v>
      </c>
      <c r="D30" s="35">
        <v>365400</v>
      </c>
      <c r="E30" s="36">
        <v>2.218299</v>
      </c>
      <c r="F30" s="80"/>
      <c r="G30" s="80"/>
      <c r="H30" s="37"/>
      <c r="I30" s="38"/>
      <c r="K30" s="24">
        <f t="shared" si="7"/>
        <v>2017</v>
      </c>
      <c r="L30" s="24">
        <v>2017</v>
      </c>
    </row>
    <row r="31" spans="1:25" x14ac:dyDescent="0.35">
      <c r="A31" s="32" t="s">
        <v>1</v>
      </c>
      <c r="B31" s="47">
        <v>42888</v>
      </c>
      <c r="C31" s="47">
        <v>42899</v>
      </c>
      <c r="D31" s="35">
        <v>135000</v>
      </c>
      <c r="E31" s="36">
        <v>0.81956899999999999</v>
      </c>
      <c r="F31" s="80"/>
      <c r="G31" s="80"/>
      <c r="H31" s="37"/>
      <c r="I31" s="38"/>
      <c r="K31" s="24">
        <f t="shared" si="7"/>
        <v>2017</v>
      </c>
      <c r="L31" s="24">
        <v>2017</v>
      </c>
    </row>
    <row r="32" spans="1:25" x14ac:dyDescent="0.35">
      <c r="A32" s="82"/>
      <c r="B32" s="83"/>
      <c r="C32" s="83"/>
      <c r="D32" s="83"/>
      <c r="E32" s="83"/>
      <c r="F32" s="84"/>
      <c r="G32" s="84"/>
      <c r="H32" s="85"/>
      <c r="I32" s="86"/>
      <c r="K32" s="24"/>
      <c r="L32" s="24"/>
    </row>
    <row r="33" spans="1:12" x14ac:dyDescent="0.35">
      <c r="A33" s="75">
        <v>2016</v>
      </c>
      <c r="B33" s="76"/>
      <c r="C33" s="77"/>
      <c r="D33" s="78">
        <f>SUM(D34:D35)</f>
        <v>247500</v>
      </c>
      <c r="E33" s="18">
        <f>SUM(E34:E35)</f>
        <v>1.502543</v>
      </c>
      <c r="F33" s="21">
        <v>4932312</v>
      </c>
      <c r="G33" s="20">
        <f>D33/(F33)</f>
        <v>5.017930739174651E-2</v>
      </c>
      <c r="H33" s="21">
        <v>228785</v>
      </c>
      <c r="I33" s="22">
        <f>D33/H33</f>
        <v>1.081801691544463</v>
      </c>
      <c r="K33" s="24"/>
      <c r="L33" s="24"/>
    </row>
    <row r="34" spans="1:12" x14ac:dyDescent="0.35">
      <c r="A34" s="87" t="s">
        <v>1</v>
      </c>
      <c r="B34" s="88">
        <v>42709</v>
      </c>
      <c r="C34" s="88">
        <v>42755</v>
      </c>
      <c r="D34" s="89">
        <v>137500</v>
      </c>
      <c r="E34" s="90">
        <v>0.83474599999999999</v>
      </c>
      <c r="F34" s="91"/>
      <c r="G34" s="91"/>
      <c r="H34" s="92"/>
      <c r="I34" s="93"/>
      <c r="K34" s="24">
        <f t="shared" si="7"/>
        <v>2017</v>
      </c>
      <c r="L34" s="24">
        <v>2016</v>
      </c>
    </row>
    <row r="35" spans="1:12" x14ac:dyDescent="0.35">
      <c r="A35" s="87" t="s">
        <v>1</v>
      </c>
      <c r="B35" s="88">
        <v>42543</v>
      </c>
      <c r="C35" s="88">
        <v>42552</v>
      </c>
      <c r="D35" s="89">
        <v>110000</v>
      </c>
      <c r="E35" s="90">
        <v>0.66779699999999997</v>
      </c>
      <c r="F35" s="94"/>
      <c r="G35" s="94"/>
      <c r="H35" s="95"/>
      <c r="I35" s="96"/>
      <c r="K35" s="24">
        <f t="shared" si="7"/>
        <v>2016</v>
      </c>
      <c r="L35" s="24">
        <v>2016</v>
      </c>
    </row>
    <row r="36" spans="1:12" x14ac:dyDescent="0.35">
      <c r="A36" s="97"/>
      <c r="B36" s="98"/>
      <c r="C36" s="98"/>
      <c r="D36" s="98"/>
      <c r="E36" s="98"/>
      <c r="F36" s="99"/>
      <c r="G36" s="99"/>
      <c r="H36" s="100"/>
      <c r="I36" s="101"/>
      <c r="K36" s="24"/>
      <c r="L36" s="24"/>
    </row>
    <row r="37" spans="1:12" x14ac:dyDescent="0.35">
      <c r="A37" s="75">
        <v>2015</v>
      </c>
      <c r="B37" s="76"/>
      <c r="C37" s="77"/>
      <c r="D37" s="78">
        <f>SUM(D38:D39)</f>
        <v>334865</v>
      </c>
      <c r="E37" s="18">
        <f>SUM(E38:E39)</f>
        <v>2.0765609999999999</v>
      </c>
      <c r="F37" s="21">
        <v>504430</v>
      </c>
      <c r="G37" s="20">
        <f>D37/(F37)</f>
        <v>0.66384830402632677</v>
      </c>
      <c r="H37" s="21">
        <v>271887</v>
      </c>
      <c r="I37" s="22">
        <f>D37/H37</f>
        <v>1.231632994589664</v>
      </c>
      <c r="K37" s="24"/>
      <c r="L37" s="24"/>
    </row>
    <row r="38" spans="1:12" x14ac:dyDescent="0.35">
      <c r="A38" s="32" t="s">
        <v>1</v>
      </c>
      <c r="B38" s="47">
        <v>42334</v>
      </c>
      <c r="C38" s="47">
        <v>42345</v>
      </c>
      <c r="D38" s="35">
        <v>224100</v>
      </c>
      <c r="E38" s="36">
        <v>1.389686</v>
      </c>
      <c r="F38" s="102"/>
      <c r="G38" s="102"/>
      <c r="H38" s="103"/>
      <c r="I38" s="104"/>
      <c r="K38" s="24">
        <f t="shared" si="7"/>
        <v>2015</v>
      </c>
      <c r="L38" s="24">
        <v>2015</v>
      </c>
    </row>
    <row r="39" spans="1:12" x14ac:dyDescent="0.35">
      <c r="A39" s="32" t="s">
        <v>1</v>
      </c>
      <c r="B39" s="47">
        <v>42151</v>
      </c>
      <c r="C39" s="47">
        <v>42163</v>
      </c>
      <c r="D39" s="35">
        <v>110765</v>
      </c>
      <c r="E39" s="36">
        <v>0.68687500000000001</v>
      </c>
      <c r="F39" s="80"/>
      <c r="G39" s="80"/>
      <c r="H39" s="37"/>
      <c r="I39" s="38"/>
      <c r="K39" s="24">
        <f t="shared" si="7"/>
        <v>2015</v>
      </c>
      <c r="L39" s="24">
        <v>2015</v>
      </c>
    </row>
    <row r="40" spans="1:12" x14ac:dyDescent="0.35">
      <c r="A40" s="105"/>
      <c r="B40" s="106"/>
      <c r="C40" s="106"/>
      <c r="D40" s="106"/>
      <c r="E40" s="106"/>
      <c r="F40" s="80"/>
      <c r="G40" s="80"/>
      <c r="H40" s="37"/>
      <c r="I40" s="38"/>
      <c r="K40" s="24"/>
      <c r="L40" s="24"/>
    </row>
    <row r="41" spans="1:12" x14ac:dyDescent="0.35">
      <c r="A41" s="75">
        <v>2014</v>
      </c>
      <c r="B41" s="76"/>
      <c r="C41" s="77"/>
      <c r="D41" s="78">
        <f>SUM(D42:D44)</f>
        <v>226029</v>
      </c>
      <c r="E41" s="18">
        <f>SUM(E42:E44)</f>
        <v>1.4121270000000001</v>
      </c>
      <c r="F41" s="21">
        <v>378215</v>
      </c>
      <c r="G41" s="20">
        <f>D41/(F41)</f>
        <v>0.59762040109461545</v>
      </c>
      <c r="H41" s="21">
        <v>248140</v>
      </c>
      <c r="I41" s="22">
        <f>D41/H41</f>
        <v>0.91089304424921413</v>
      </c>
      <c r="K41" s="24"/>
      <c r="L41" s="24"/>
    </row>
    <row r="42" spans="1:12" x14ac:dyDescent="0.35">
      <c r="A42" s="87" t="s">
        <v>1</v>
      </c>
      <c r="B42" s="88">
        <v>42131</v>
      </c>
      <c r="C42" s="88">
        <v>42185</v>
      </c>
      <c r="D42" s="89">
        <v>31029</v>
      </c>
      <c r="E42" s="90">
        <v>0.192417</v>
      </c>
      <c r="F42" s="91"/>
      <c r="G42" s="91"/>
      <c r="H42" s="92"/>
      <c r="I42" s="93"/>
      <c r="K42" s="24">
        <f t="shared" si="7"/>
        <v>2015</v>
      </c>
      <c r="L42" s="24">
        <v>2014</v>
      </c>
    </row>
    <row r="43" spans="1:12" x14ac:dyDescent="0.35">
      <c r="A43" s="87" t="s">
        <v>1</v>
      </c>
      <c r="B43" s="88">
        <v>41968</v>
      </c>
      <c r="C43" s="88">
        <v>41978</v>
      </c>
      <c r="D43" s="89">
        <v>165000</v>
      </c>
      <c r="E43" s="90">
        <v>1.023196</v>
      </c>
      <c r="F43" s="94"/>
      <c r="G43" s="94"/>
      <c r="H43" s="95"/>
      <c r="I43" s="96"/>
      <c r="K43" s="24">
        <f t="shared" si="7"/>
        <v>2014</v>
      </c>
      <c r="L43" s="24">
        <v>2014</v>
      </c>
    </row>
    <row r="44" spans="1:12" x14ac:dyDescent="0.35">
      <c r="A44" s="87" t="s">
        <v>0</v>
      </c>
      <c r="B44" s="88">
        <v>41864</v>
      </c>
      <c r="C44" s="88">
        <v>41880</v>
      </c>
      <c r="D44" s="89">
        <v>30000</v>
      </c>
      <c r="E44" s="90">
        <v>0.19651399999999999</v>
      </c>
      <c r="F44" s="94"/>
      <c r="G44" s="94"/>
      <c r="H44" s="95"/>
      <c r="I44" s="96"/>
      <c r="K44" s="24">
        <f t="shared" si="7"/>
        <v>2014</v>
      </c>
      <c r="L44" s="24">
        <v>2014</v>
      </c>
    </row>
    <row r="45" spans="1:12" x14ac:dyDescent="0.35">
      <c r="A45" s="87"/>
      <c r="B45" s="90"/>
      <c r="C45" s="90"/>
      <c r="D45" s="90"/>
      <c r="E45" s="90"/>
      <c r="F45" s="94"/>
      <c r="G45" s="94"/>
      <c r="H45" s="95"/>
      <c r="I45" s="96"/>
      <c r="K45" s="24"/>
      <c r="L45" s="24"/>
    </row>
    <row r="46" spans="1:12" x14ac:dyDescent="0.35">
      <c r="A46" s="75">
        <v>2013</v>
      </c>
      <c r="B46" s="76"/>
      <c r="C46" s="77"/>
      <c r="D46" s="78">
        <f>SUM(D47:D48)</f>
        <v>230000</v>
      </c>
      <c r="E46" s="18">
        <f>SUM(E47:E48)</f>
        <v>1.506602</v>
      </c>
      <c r="F46" s="21">
        <v>31900</v>
      </c>
      <c r="G46" s="20" t="s">
        <v>8</v>
      </c>
      <c r="H46" s="21">
        <v>-145400</v>
      </c>
      <c r="I46" s="22" t="s">
        <v>8</v>
      </c>
      <c r="K46" s="24"/>
      <c r="L46" s="24"/>
    </row>
    <row r="47" spans="1:12" x14ac:dyDescent="0.35">
      <c r="A47" s="32" t="s">
        <v>1</v>
      </c>
      <c r="B47" s="47">
        <v>41731</v>
      </c>
      <c r="C47" s="47">
        <v>41851</v>
      </c>
      <c r="D47" s="35">
        <v>30000</v>
      </c>
      <c r="E47" s="36">
        <v>0.19651399999999999</v>
      </c>
      <c r="F47" s="102"/>
      <c r="G47" s="102"/>
      <c r="H47" s="103"/>
      <c r="I47" s="104"/>
      <c r="K47" s="24">
        <f t="shared" si="7"/>
        <v>2014</v>
      </c>
      <c r="L47" s="24">
        <v>2013</v>
      </c>
    </row>
    <row r="48" spans="1:12" x14ac:dyDescent="0.35">
      <c r="A48" s="32" t="s">
        <v>0</v>
      </c>
      <c r="B48" s="47">
        <v>41634</v>
      </c>
      <c r="C48" s="47">
        <v>41669</v>
      </c>
      <c r="D48" s="35">
        <v>200000</v>
      </c>
      <c r="E48" s="36">
        <v>1.3100879999999999</v>
      </c>
      <c r="F48" s="80"/>
      <c r="G48" s="80"/>
      <c r="H48" s="37"/>
      <c r="I48" s="38"/>
      <c r="K48" s="24">
        <f t="shared" si="7"/>
        <v>2014</v>
      </c>
      <c r="L48" s="24">
        <v>2013</v>
      </c>
    </row>
    <row r="49" spans="1:12" x14ac:dyDescent="0.35">
      <c r="A49" s="105"/>
      <c r="B49" s="106"/>
      <c r="C49" s="106"/>
      <c r="D49" s="106"/>
      <c r="E49" s="106"/>
      <c r="F49" s="80"/>
      <c r="G49" s="80"/>
      <c r="H49" s="37"/>
      <c r="I49" s="38"/>
      <c r="K49" s="24"/>
      <c r="L49" s="24"/>
    </row>
    <row r="50" spans="1:12" x14ac:dyDescent="0.35">
      <c r="A50" s="75">
        <v>2012</v>
      </c>
      <c r="B50" s="76"/>
      <c r="C50" s="77"/>
      <c r="D50" s="78">
        <f>SUM(D51:D54)</f>
        <v>242678</v>
      </c>
      <c r="E50" s="107">
        <f>SUM(E51:E54)</f>
        <v>1.5896650000000001</v>
      </c>
      <c r="F50" s="21">
        <v>843488</v>
      </c>
      <c r="G50" s="20">
        <f>D50/(F50)</f>
        <v>0.28770770894191738</v>
      </c>
      <c r="H50" s="21">
        <v>1004000</v>
      </c>
      <c r="I50" s="22">
        <f>D50/H50</f>
        <v>0.24171115537848606</v>
      </c>
      <c r="K50" s="24"/>
      <c r="L50" s="24"/>
    </row>
    <row r="51" spans="1:12" x14ac:dyDescent="0.35">
      <c r="A51" s="87" t="s">
        <v>1</v>
      </c>
      <c r="B51" s="88">
        <v>41092</v>
      </c>
      <c r="C51" s="88">
        <v>41117</v>
      </c>
      <c r="D51" s="89">
        <v>97050</v>
      </c>
      <c r="E51" s="90">
        <v>0.63572099999999998</v>
      </c>
      <c r="F51" s="91"/>
      <c r="G51" s="91"/>
      <c r="H51" s="92"/>
      <c r="I51" s="93"/>
      <c r="K51" s="24">
        <f t="shared" si="7"/>
        <v>2012</v>
      </c>
      <c r="L51" s="24">
        <v>2012</v>
      </c>
    </row>
    <row r="52" spans="1:12" x14ac:dyDescent="0.35">
      <c r="A52" s="87" t="s">
        <v>0</v>
      </c>
      <c r="B52" s="88">
        <v>41092</v>
      </c>
      <c r="C52" s="88">
        <v>41117</v>
      </c>
      <c r="D52" s="89">
        <v>63949</v>
      </c>
      <c r="E52" s="90">
        <v>0.41889999999999999</v>
      </c>
      <c r="F52" s="94"/>
      <c r="G52" s="94"/>
      <c r="H52" s="95"/>
      <c r="I52" s="96"/>
      <c r="K52" s="24">
        <f t="shared" si="7"/>
        <v>2012</v>
      </c>
      <c r="L52" s="24">
        <v>2012</v>
      </c>
    </row>
    <row r="53" spans="1:12" x14ac:dyDescent="0.35">
      <c r="A53" s="87" t="s">
        <v>1</v>
      </c>
      <c r="B53" s="88">
        <v>41016</v>
      </c>
      <c r="C53" s="88">
        <v>41029</v>
      </c>
      <c r="D53" s="89">
        <v>31348</v>
      </c>
      <c r="E53" s="90">
        <v>0.205349</v>
      </c>
      <c r="F53" s="94"/>
      <c r="G53" s="94"/>
      <c r="H53" s="95"/>
      <c r="I53" s="96"/>
      <c r="K53" s="24">
        <f t="shared" si="7"/>
        <v>2012</v>
      </c>
      <c r="L53" s="24">
        <v>2012</v>
      </c>
    </row>
    <row r="54" spans="1:12" x14ac:dyDescent="0.35">
      <c r="A54" s="87" t="s">
        <v>1</v>
      </c>
      <c r="B54" s="88">
        <v>41016</v>
      </c>
      <c r="C54" s="88">
        <v>41029</v>
      </c>
      <c r="D54" s="89">
        <v>50331</v>
      </c>
      <c r="E54" s="90">
        <v>0.32969500000000002</v>
      </c>
      <c r="F54" s="94"/>
      <c r="G54" s="94"/>
      <c r="H54" s="95"/>
      <c r="I54" s="96"/>
      <c r="K54" s="24">
        <f t="shared" si="7"/>
        <v>2012</v>
      </c>
      <c r="L54" s="24">
        <v>2012</v>
      </c>
    </row>
    <row r="55" spans="1:12" x14ac:dyDescent="0.35">
      <c r="A55" s="97"/>
      <c r="B55" s="98"/>
      <c r="C55" s="98"/>
      <c r="D55" s="98"/>
      <c r="E55" s="98"/>
      <c r="F55" s="99"/>
      <c r="G55" s="99"/>
      <c r="H55" s="100"/>
      <c r="I55" s="101"/>
      <c r="K55" s="24"/>
      <c r="L55" s="24"/>
    </row>
    <row r="56" spans="1:12" x14ac:dyDescent="0.35">
      <c r="A56" s="75">
        <v>2011</v>
      </c>
      <c r="B56" s="76"/>
      <c r="C56" s="77"/>
      <c r="D56" s="78">
        <f>SUM(D57:D62)</f>
        <v>691982</v>
      </c>
      <c r="E56" s="107">
        <f>SUM(E57:E62)</f>
        <v>4.5492609999999996</v>
      </c>
      <c r="F56" s="21">
        <v>915260</v>
      </c>
      <c r="G56" s="20">
        <f>D56/(F56)</f>
        <v>0.75604964709481459</v>
      </c>
      <c r="H56" s="21">
        <v>805700</v>
      </c>
      <c r="I56" s="22">
        <f>D56/H56</f>
        <v>0.85885813578254933</v>
      </c>
      <c r="K56" s="24"/>
      <c r="L56" s="24"/>
    </row>
    <row r="57" spans="1:12" x14ac:dyDescent="0.35">
      <c r="A57" s="32" t="s">
        <v>0</v>
      </c>
      <c r="B57" s="47">
        <v>40925</v>
      </c>
      <c r="C57" s="47">
        <v>40938</v>
      </c>
      <c r="D57" s="35">
        <v>64158</v>
      </c>
      <c r="E57" s="36">
        <v>0.42026400000000003</v>
      </c>
      <c r="F57" s="80"/>
      <c r="G57" s="80"/>
      <c r="H57" s="37"/>
      <c r="I57" s="38"/>
      <c r="K57" s="24">
        <f t="shared" si="7"/>
        <v>2012</v>
      </c>
      <c r="L57" s="24">
        <v>2011</v>
      </c>
    </row>
    <row r="58" spans="1:12" x14ac:dyDescent="0.35">
      <c r="A58" s="32" t="s">
        <v>1</v>
      </c>
      <c r="B58" s="47">
        <v>40925</v>
      </c>
      <c r="C58" s="47">
        <v>40938</v>
      </c>
      <c r="D58" s="35">
        <v>169841</v>
      </c>
      <c r="E58" s="36">
        <v>1.1125389999999999</v>
      </c>
      <c r="F58" s="80"/>
      <c r="G58" s="80"/>
      <c r="H58" s="37"/>
      <c r="I58" s="38"/>
      <c r="K58" s="24">
        <f t="shared" si="7"/>
        <v>2012</v>
      </c>
      <c r="L58" s="24">
        <v>2011</v>
      </c>
    </row>
    <row r="59" spans="1:12" x14ac:dyDescent="0.35">
      <c r="A59" s="32" t="s">
        <v>0</v>
      </c>
      <c r="B59" s="47">
        <v>40827</v>
      </c>
      <c r="C59" s="47">
        <v>40847</v>
      </c>
      <c r="D59" s="35">
        <v>61228</v>
      </c>
      <c r="E59" s="36">
        <v>0.40327299999999999</v>
      </c>
      <c r="F59" s="80"/>
      <c r="G59" s="80"/>
      <c r="H59" s="37"/>
      <c r="I59" s="38"/>
      <c r="K59" s="24">
        <f t="shared" si="7"/>
        <v>2011</v>
      </c>
      <c r="L59" s="24">
        <v>2011</v>
      </c>
    </row>
    <row r="60" spans="1:12" x14ac:dyDescent="0.35">
      <c r="A60" s="32" t="s">
        <v>1</v>
      </c>
      <c r="B60" s="47">
        <v>40827</v>
      </c>
      <c r="C60" s="47">
        <v>40847</v>
      </c>
      <c r="D60" s="35">
        <v>172771</v>
      </c>
      <c r="E60" s="36">
        <v>1.1379349999999999</v>
      </c>
      <c r="F60" s="80"/>
      <c r="G60" s="80"/>
      <c r="H60" s="37"/>
      <c r="I60" s="38"/>
      <c r="K60" s="24">
        <f t="shared" si="7"/>
        <v>2011</v>
      </c>
      <c r="L60" s="24">
        <v>2011</v>
      </c>
    </row>
    <row r="61" spans="1:12" x14ac:dyDescent="0.35">
      <c r="A61" s="32" t="s">
        <v>0</v>
      </c>
      <c r="B61" s="47">
        <v>40731</v>
      </c>
      <c r="C61" s="47">
        <v>40752</v>
      </c>
      <c r="D61" s="35">
        <v>63460</v>
      </c>
      <c r="E61" s="36">
        <v>0.41797499999999999</v>
      </c>
      <c r="F61" s="80"/>
      <c r="G61" s="80"/>
      <c r="H61" s="37"/>
      <c r="I61" s="38"/>
      <c r="K61" s="24">
        <f t="shared" si="7"/>
        <v>2011</v>
      </c>
      <c r="L61" s="24">
        <v>2011</v>
      </c>
    </row>
    <row r="62" spans="1:12" x14ac:dyDescent="0.35">
      <c r="A62" s="32" t="s">
        <v>1</v>
      </c>
      <c r="B62" s="47">
        <v>40731</v>
      </c>
      <c r="C62" s="47">
        <v>40752</v>
      </c>
      <c r="D62" s="35">
        <v>160524</v>
      </c>
      <c r="E62" s="36">
        <v>1.057275</v>
      </c>
      <c r="F62" s="80"/>
      <c r="G62" s="80"/>
      <c r="H62" s="37"/>
      <c r="I62" s="38"/>
      <c r="K62" s="24">
        <f t="shared" si="7"/>
        <v>2011</v>
      </c>
      <c r="L62" s="24">
        <v>2011</v>
      </c>
    </row>
    <row r="63" spans="1:12" x14ac:dyDescent="0.35">
      <c r="A63" s="108"/>
      <c r="B63" s="109"/>
      <c r="C63" s="109"/>
      <c r="D63" s="109"/>
      <c r="E63" s="109"/>
      <c r="F63" s="80"/>
      <c r="G63" s="80"/>
      <c r="H63" s="37"/>
      <c r="I63" s="38"/>
      <c r="K63" s="24"/>
      <c r="L63" s="24"/>
    </row>
    <row r="64" spans="1:12" x14ac:dyDescent="0.35">
      <c r="A64" s="75">
        <v>2010</v>
      </c>
      <c r="B64" s="76"/>
      <c r="C64" s="77"/>
      <c r="D64" s="78">
        <f>SUM(D65:D73)</f>
        <v>775407</v>
      </c>
      <c r="E64" s="107">
        <f>SUM(E65:E73)</f>
        <v>5.1071389999999992</v>
      </c>
      <c r="F64" s="21">
        <v>812171</v>
      </c>
      <c r="G64" s="20">
        <f>D64/(F64)</f>
        <v>0.95473367061862591</v>
      </c>
      <c r="H64" s="21">
        <f>F64</f>
        <v>812171</v>
      </c>
      <c r="I64" s="22">
        <f>D64/H64</f>
        <v>0.95473367061862591</v>
      </c>
      <c r="K64" s="24"/>
      <c r="L64" s="24"/>
    </row>
    <row r="65" spans="1:12" x14ac:dyDescent="0.35">
      <c r="A65" s="87" t="s">
        <v>1</v>
      </c>
      <c r="B65" s="88">
        <v>40665</v>
      </c>
      <c r="C65" s="88">
        <v>40752</v>
      </c>
      <c r="D65" s="89">
        <v>16714</v>
      </c>
      <c r="E65" s="90">
        <v>0.110087</v>
      </c>
      <c r="F65" s="91"/>
      <c r="G65" s="91"/>
      <c r="H65" s="92"/>
      <c r="I65" s="93"/>
      <c r="K65" s="24">
        <f t="shared" si="7"/>
        <v>2011</v>
      </c>
      <c r="L65" s="24">
        <v>2010</v>
      </c>
    </row>
    <row r="66" spans="1:12" x14ac:dyDescent="0.35">
      <c r="A66" s="87" t="s">
        <v>0</v>
      </c>
      <c r="B66" s="88">
        <v>40640</v>
      </c>
      <c r="C66" s="88">
        <v>40662</v>
      </c>
      <c r="D66" s="89">
        <v>65692</v>
      </c>
      <c r="E66" s="90">
        <v>0.43267600000000001</v>
      </c>
      <c r="F66" s="94"/>
      <c r="G66" s="94"/>
      <c r="H66" s="95"/>
      <c r="I66" s="96"/>
      <c r="K66" s="24">
        <f t="shared" si="7"/>
        <v>2011</v>
      </c>
      <c r="L66" s="24">
        <v>2010</v>
      </c>
    </row>
    <row r="67" spans="1:12" x14ac:dyDescent="0.35">
      <c r="A67" s="87" t="s">
        <v>1</v>
      </c>
      <c r="B67" s="88">
        <v>40640</v>
      </c>
      <c r="C67" s="88">
        <v>40662</v>
      </c>
      <c r="D67" s="89">
        <v>181307</v>
      </c>
      <c r="E67" s="90">
        <v>1.1941539999999999</v>
      </c>
      <c r="F67" s="94"/>
      <c r="G67" s="94"/>
      <c r="H67" s="95"/>
      <c r="I67" s="96"/>
      <c r="K67" s="24">
        <f t="shared" si="7"/>
        <v>2011</v>
      </c>
      <c r="L67" s="24">
        <v>2010</v>
      </c>
    </row>
    <row r="68" spans="1:12" x14ac:dyDescent="0.35">
      <c r="A68" s="87" t="s">
        <v>0</v>
      </c>
      <c r="B68" s="88">
        <v>40560</v>
      </c>
      <c r="C68" s="88">
        <v>40571</v>
      </c>
      <c r="D68" s="89">
        <v>63027</v>
      </c>
      <c r="E68" s="90">
        <v>0.41511900000000002</v>
      </c>
      <c r="F68" s="94"/>
      <c r="G68" s="94"/>
      <c r="H68" s="95"/>
      <c r="I68" s="96"/>
      <c r="K68" s="24">
        <f t="shared" ref="K68:K127" si="12">YEAR(C68)</f>
        <v>2011</v>
      </c>
      <c r="L68" s="24">
        <v>2010</v>
      </c>
    </row>
    <row r="69" spans="1:12" x14ac:dyDescent="0.35">
      <c r="A69" s="87" t="s">
        <v>1</v>
      </c>
      <c r="B69" s="88">
        <v>40560</v>
      </c>
      <c r="C69" s="88">
        <v>40571</v>
      </c>
      <c r="D69" s="89">
        <v>112072</v>
      </c>
      <c r="E69" s="90">
        <v>0.73815200000000003</v>
      </c>
      <c r="F69" s="94"/>
      <c r="G69" s="94"/>
      <c r="H69" s="95"/>
      <c r="I69" s="96"/>
      <c r="K69" s="24">
        <f t="shared" si="12"/>
        <v>2011</v>
      </c>
      <c r="L69" s="24">
        <v>2010</v>
      </c>
    </row>
    <row r="70" spans="1:12" x14ac:dyDescent="0.35">
      <c r="A70" s="87" t="s">
        <v>1</v>
      </c>
      <c r="B70" s="88">
        <v>40459</v>
      </c>
      <c r="C70" s="88">
        <v>40476</v>
      </c>
      <c r="D70" s="89">
        <v>146280</v>
      </c>
      <c r="E70" s="90">
        <v>0.963453</v>
      </c>
      <c r="F70" s="94"/>
      <c r="G70" s="94"/>
      <c r="H70" s="95"/>
      <c r="I70" s="96"/>
      <c r="K70" s="24">
        <f t="shared" si="12"/>
        <v>2010</v>
      </c>
      <c r="L70" s="24">
        <v>2010</v>
      </c>
    </row>
    <row r="71" spans="1:12" x14ac:dyDescent="0.35">
      <c r="A71" s="87" t="s">
        <v>0</v>
      </c>
      <c r="B71" s="88">
        <v>40459</v>
      </c>
      <c r="C71" s="88">
        <v>40476</v>
      </c>
      <c r="D71" s="89">
        <v>63719</v>
      </c>
      <c r="E71" s="90">
        <v>0.419682</v>
      </c>
      <c r="F71" s="94"/>
      <c r="G71" s="94"/>
      <c r="H71" s="95"/>
      <c r="I71" s="96"/>
      <c r="K71" s="24">
        <f t="shared" si="12"/>
        <v>2010</v>
      </c>
      <c r="L71" s="24">
        <v>2010</v>
      </c>
    </row>
    <row r="72" spans="1:12" x14ac:dyDescent="0.35">
      <c r="A72" s="87" t="s">
        <v>0</v>
      </c>
      <c r="B72" s="88">
        <v>40367</v>
      </c>
      <c r="C72" s="88">
        <v>40382</v>
      </c>
      <c r="D72" s="89">
        <v>62925</v>
      </c>
      <c r="E72" s="90">
        <v>0.41445199999999999</v>
      </c>
      <c r="F72" s="94"/>
      <c r="G72" s="94"/>
      <c r="H72" s="95"/>
      <c r="I72" s="96"/>
      <c r="K72" s="24">
        <f t="shared" si="12"/>
        <v>2010</v>
      </c>
      <c r="L72" s="24">
        <v>2010</v>
      </c>
    </row>
    <row r="73" spans="1:12" x14ac:dyDescent="0.35">
      <c r="A73" s="87" t="s">
        <v>1</v>
      </c>
      <c r="B73" s="88">
        <v>40367</v>
      </c>
      <c r="C73" s="88">
        <v>40382</v>
      </c>
      <c r="D73" s="89">
        <v>63671</v>
      </c>
      <c r="E73" s="90">
        <v>0.41936400000000001</v>
      </c>
      <c r="F73" s="94"/>
      <c r="G73" s="94"/>
      <c r="H73" s="95"/>
      <c r="I73" s="96"/>
      <c r="K73" s="24">
        <f t="shared" si="12"/>
        <v>2010</v>
      </c>
      <c r="L73" s="24">
        <v>2010</v>
      </c>
    </row>
    <row r="74" spans="1:12" x14ac:dyDescent="0.35">
      <c r="A74" s="87"/>
      <c r="B74" s="90"/>
      <c r="C74" s="90"/>
      <c r="D74" s="90"/>
      <c r="E74" s="90"/>
      <c r="F74" s="94"/>
      <c r="G74" s="94"/>
      <c r="H74" s="95"/>
      <c r="I74" s="96"/>
      <c r="K74" s="24"/>
      <c r="L74" s="24"/>
    </row>
    <row r="75" spans="1:12" x14ac:dyDescent="0.35">
      <c r="A75" s="75">
        <v>2009</v>
      </c>
      <c r="B75" s="76"/>
      <c r="C75" s="77"/>
      <c r="D75" s="78">
        <f>SUM(D76:D85)</f>
        <v>845095</v>
      </c>
      <c r="E75" s="107">
        <f>SUM(E76:E85)</f>
        <v>5.6169479999999989</v>
      </c>
      <c r="F75" s="21">
        <v>861975</v>
      </c>
      <c r="G75" s="20">
        <f>D75/(F75)</f>
        <v>0.98041706546013518</v>
      </c>
      <c r="H75" s="21">
        <f>F75</f>
        <v>861975</v>
      </c>
      <c r="I75" s="22">
        <f>D75/H75</f>
        <v>0.98041706546013518</v>
      </c>
      <c r="K75" s="24"/>
      <c r="L75" s="24"/>
    </row>
    <row r="76" spans="1:12" x14ac:dyDescent="0.35">
      <c r="A76" s="32" t="s">
        <v>1</v>
      </c>
      <c r="B76" s="47">
        <v>40303</v>
      </c>
      <c r="C76" s="47">
        <v>40382</v>
      </c>
      <c r="D76" s="35">
        <v>77302</v>
      </c>
      <c r="E76" s="36">
        <v>0.50914300000000001</v>
      </c>
      <c r="F76" s="102"/>
      <c r="G76" s="110"/>
      <c r="H76" s="103"/>
      <c r="I76" s="111"/>
      <c r="K76" s="24">
        <f t="shared" si="12"/>
        <v>2010</v>
      </c>
      <c r="L76" s="24">
        <v>2009</v>
      </c>
    </row>
    <row r="77" spans="1:12" x14ac:dyDescent="0.35">
      <c r="A77" s="32" t="s">
        <v>1</v>
      </c>
      <c r="B77" s="47">
        <v>40277</v>
      </c>
      <c r="C77" s="47">
        <v>40288</v>
      </c>
      <c r="D77" s="35">
        <v>129979</v>
      </c>
      <c r="E77" s="36">
        <v>0.86275599999999997</v>
      </c>
      <c r="F77" s="102"/>
      <c r="G77" s="110"/>
      <c r="H77" s="103"/>
      <c r="I77" s="111"/>
      <c r="K77" s="24">
        <f t="shared" si="12"/>
        <v>2010</v>
      </c>
      <c r="L77" s="24">
        <v>2009</v>
      </c>
    </row>
    <row r="78" spans="1:12" x14ac:dyDescent="0.35">
      <c r="A78" s="32" t="s">
        <v>0</v>
      </c>
      <c r="B78" s="47">
        <v>40277</v>
      </c>
      <c r="C78" s="47">
        <v>40288</v>
      </c>
      <c r="D78" s="35">
        <v>61920</v>
      </c>
      <c r="E78" s="36">
        <v>0.41100199999999998</v>
      </c>
      <c r="F78" s="80"/>
      <c r="G78" s="112"/>
      <c r="H78" s="37"/>
      <c r="I78" s="58"/>
      <c r="K78" s="24">
        <f t="shared" si="12"/>
        <v>2010</v>
      </c>
      <c r="L78" s="24">
        <v>2009</v>
      </c>
    </row>
    <row r="79" spans="1:12" x14ac:dyDescent="0.35">
      <c r="A79" s="32" t="s">
        <v>1</v>
      </c>
      <c r="B79" s="47">
        <v>40190</v>
      </c>
      <c r="C79" s="47">
        <v>40200</v>
      </c>
      <c r="D79" s="35">
        <v>161000</v>
      </c>
      <c r="E79" s="36">
        <v>1.0686560000000001</v>
      </c>
      <c r="F79" s="80"/>
      <c r="G79" s="112"/>
      <c r="H79" s="37"/>
      <c r="I79" s="58"/>
      <c r="K79" s="24">
        <f t="shared" si="12"/>
        <v>2010</v>
      </c>
      <c r="L79" s="24">
        <v>2009</v>
      </c>
    </row>
    <row r="80" spans="1:12" x14ac:dyDescent="0.35">
      <c r="A80" s="32" t="s">
        <v>0</v>
      </c>
      <c r="B80" s="47">
        <v>40163</v>
      </c>
      <c r="C80" s="47">
        <v>40177</v>
      </c>
      <c r="D80" s="35">
        <v>61380</v>
      </c>
      <c r="E80" s="36">
        <v>0.40742200000000001</v>
      </c>
      <c r="F80" s="80"/>
      <c r="G80" s="112"/>
      <c r="H80" s="37"/>
      <c r="I80" s="58"/>
      <c r="K80" s="24">
        <f t="shared" si="12"/>
        <v>2009</v>
      </c>
      <c r="L80" s="24">
        <v>2009</v>
      </c>
    </row>
    <row r="81" spans="1:12" x14ac:dyDescent="0.35">
      <c r="A81" s="32" t="s">
        <v>1</v>
      </c>
      <c r="B81" s="47">
        <v>40093</v>
      </c>
      <c r="C81" s="47">
        <v>40107</v>
      </c>
      <c r="D81" s="35">
        <v>103444</v>
      </c>
      <c r="E81" s="36">
        <v>0.68662500000000004</v>
      </c>
      <c r="F81" s="80"/>
      <c r="G81" s="112"/>
      <c r="H81" s="37"/>
      <c r="I81" s="58"/>
      <c r="K81" s="24">
        <f t="shared" si="12"/>
        <v>2009</v>
      </c>
      <c r="L81" s="24">
        <v>2009</v>
      </c>
    </row>
    <row r="82" spans="1:12" x14ac:dyDescent="0.35">
      <c r="A82" s="32" t="s">
        <v>0</v>
      </c>
      <c r="B82" s="47">
        <v>40093</v>
      </c>
      <c r="C82" s="47">
        <v>40107</v>
      </c>
      <c r="D82" s="35">
        <v>62055</v>
      </c>
      <c r="E82" s="36">
        <v>0.41189999999999999</v>
      </c>
      <c r="F82" s="80"/>
      <c r="G82" s="112"/>
      <c r="H82" s="37"/>
      <c r="I82" s="58"/>
      <c r="K82" s="24">
        <f t="shared" si="12"/>
        <v>2009</v>
      </c>
      <c r="L82" s="24">
        <v>2009</v>
      </c>
    </row>
    <row r="83" spans="1:12" x14ac:dyDescent="0.35">
      <c r="A83" s="32" t="s">
        <v>1</v>
      </c>
      <c r="B83" s="47">
        <v>40001</v>
      </c>
      <c r="C83" s="47">
        <v>40015</v>
      </c>
      <c r="D83" s="35">
        <v>60842</v>
      </c>
      <c r="E83" s="36">
        <v>0.407557</v>
      </c>
      <c r="F83" s="80"/>
      <c r="G83" s="112"/>
      <c r="H83" s="37"/>
      <c r="I83" s="58"/>
      <c r="K83" s="24">
        <f t="shared" si="12"/>
        <v>2009</v>
      </c>
      <c r="L83" s="24">
        <v>2009</v>
      </c>
    </row>
    <row r="84" spans="1:12" x14ac:dyDescent="0.35">
      <c r="A84" s="32" t="s">
        <v>0</v>
      </c>
      <c r="B84" s="47">
        <v>39987</v>
      </c>
      <c r="C84" s="47">
        <v>39995</v>
      </c>
      <c r="D84" s="35">
        <v>63938</v>
      </c>
      <c r="E84" s="36">
        <v>0.42829699999999998</v>
      </c>
      <c r="F84" s="80"/>
      <c r="G84" s="112"/>
      <c r="H84" s="37"/>
      <c r="I84" s="58"/>
      <c r="K84" s="24">
        <f t="shared" si="12"/>
        <v>2009</v>
      </c>
      <c r="L84" s="24">
        <v>2009</v>
      </c>
    </row>
    <row r="85" spans="1:12" x14ac:dyDescent="0.35">
      <c r="A85" s="32" t="s">
        <v>0</v>
      </c>
      <c r="B85" s="47">
        <v>39917</v>
      </c>
      <c r="C85" s="47">
        <v>39927</v>
      </c>
      <c r="D85" s="35">
        <v>63235</v>
      </c>
      <c r="E85" s="36">
        <v>0.42359000000000002</v>
      </c>
      <c r="F85" s="80"/>
      <c r="G85" s="112"/>
      <c r="H85" s="37"/>
      <c r="I85" s="58"/>
      <c r="K85" s="24">
        <f t="shared" si="12"/>
        <v>2009</v>
      </c>
      <c r="L85" s="24">
        <v>2009</v>
      </c>
    </row>
    <row r="86" spans="1:12" x14ac:dyDescent="0.35">
      <c r="A86" s="108"/>
      <c r="B86" s="109"/>
      <c r="C86" s="109"/>
      <c r="D86" s="109"/>
      <c r="E86" s="109"/>
      <c r="F86" s="84"/>
      <c r="G86" s="113"/>
      <c r="H86" s="37"/>
      <c r="I86" s="60"/>
      <c r="K86" s="24"/>
      <c r="L86" s="24"/>
    </row>
    <row r="87" spans="1:12" x14ac:dyDescent="0.35">
      <c r="A87" s="75">
        <v>2008</v>
      </c>
      <c r="B87" s="76"/>
      <c r="C87" s="77"/>
      <c r="D87" s="78">
        <f>SUM(D88:D96)</f>
        <v>734897</v>
      </c>
      <c r="E87" s="107">
        <f>SUM(E88:E96)</f>
        <v>4.9228040000000002</v>
      </c>
      <c r="F87" s="21">
        <v>827065</v>
      </c>
      <c r="G87" s="20">
        <f>D87/(F87)</f>
        <v>0.88856014944411865</v>
      </c>
      <c r="H87" s="21">
        <f>F87</f>
        <v>827065</v>
      </c>
      <c r="I87" s="22">
        <f>D87/H87</f>
        <v>0.88856014944411865</v>
      </c>
      <c r="K87" s="24"/>
      <c r="L87" s="24"/>
    </row>
    <row r="88" spans="1:12" x14ac:dyDescent="0.35">
      <c r="A88" s="114" t="s">
        <v>1</v>
      </c>
      <c r="B88" s="115">
        <v>39919</v>
      </c>
      <c r="C88" s="115">
        <v>39927</v>
      </c>
      <c r="D88" s="116">
        <v>105890</v>
      </c>
      <c r="E88" s="117">
        <v>0.70931900000000003</v>
      </c>
      <c r="F88" s="118"/>
      <c r="G88" s="118"/>
      <c r="H88" s="118"/>
      <c r="I88" s="119"/>
      <c r="K88" s="24">
        <f t="shared" si="12"/>
        <v>2009</v>
      </c>
      <c r="L88" s="24">
        <v>2008</v>
      </c>
    </row>
    <row r="89" spans="1:12" x14ac:dyDescent="0.35">
      <c r="A89" s="114" t="s">
        <v>1</v>
      </c>
      <c r="B89" s="115">
        <v>39826</v>
      </c>
      <c r="C89" s="115">
        <v>39833</v>
      </c>
      <c r="D89" s="116">
        <v>122500</v>
      </c>
      <c r="E89" s="117">
        <v>0.82057800000000003</v>
      </c>
      <c r="F89" s="118"/>
      <c r="G89" s="118"/>
      <c r="H89" s="118"/>
      <c r="I89" s="119"/>
      <c r="K89" s="24">
        <f t="shared" si="12"/>
        <v>2009</v>
      </c>
      <c r="L89" s="24">
        <v>2008</v>
      </c>
    </row>
    <row r="90" spans="1:12" x14ac:dyDescent="0.35">
      <c r="A90" s="87" t="s">
        <v>0</v>
      </c>
      <c r="B90" s="88">
        <v>39797</v>
      </c>
      <c r="C90" s="88">
        <v>39812</v>
      </c>
      <c r="D90" s="89">
        <v>59667</v>
      </c>
      <c r="E90" s="90">
        <v>0.39968999999999999</v>
      </c>
      <c r="F90" s="120"/>
      <c r="G90" s="120"/>
      <c r="H90" s="120"/>
      <c r="I90" s="121"/>
      <c r="K90" s="24">
        <f t="shared" si="12"/>
        <v>2008</v>
      </c>
      <c r="L90" s="24">
        <v>2008</v>
      </c>
    </row>
    <row r="91" spans="1:12" x14ac:dyDescent="0.35">
      <c r="A91" s="87" t="s">
        <v>1</v>
      </c>
      <c r="B91" s="88">
        <v>39731</v>
      </c>
      <c r="C91" s="88">
        <v>39738</v>
      </c>
      <c r="D91" s="89">
        <v>54611</v>
      </c>
      <c r="E91" s="90">
        <v>0.36582300000000001</v>
      </c>
      <c r="F91" s="120"/>
      <c r="G91" s="120"/>
      <c r="H91" s="120"/>
      <c r="I91" s="121"/>
      <c r="K91" s="24">
        <f t="shared" si="12"/>
        <v>2008</v>
      </c>
      <c r="L91" s="24">
        <v>2008</v>
      </c>
    </row>
    <row r="92" spans="1:12" x14ac:dyDescent="0.35">
      <c r="A92" s="87" t="s">
        <v>0</v>
      </c>
      <c r="B92" s="88">
        <v>39731</v>
      </c>
      <c r="C92" s="88">
        <v>39738</v>
      </c>
      <c r="D92" s="89">
        <v>60388</v>
      </c>
      <c r="E92" s="90">
        <v>0.40451599999999999</v>
      </c>
      <c r="F92" s="120"/>
      <c r="G92" s="120"/>
      <c r="H92" s="120"/>
      <c r="I92" s="121"/>
      <c r="K92" s="24">
        <f t="shared" si="12"/>
        <v>2008</v>
      </c>
      <c r="L92" s="24">
        <v>2008</v>
      </c>
    </row>
    <row r="93" spans="1:12" x14ac:dyDescent="0.35">
      <c r="A93" s="87" t="s">
        <v>1</v>
      </c>
      <c r="B93" s="88">
        <v>39639</v>
      </c>
      <c r="C93" s="88">
        <v>39646</v>
      </c>
      <c r="D93" s="89">
        <v>145000</v>
      </c>
      <c r="E93" s="90">
        <v>0.97129699999999997</v>
      </c>
      <c r="F93" s="120"/>
      <c r="G93" s="120"/>
      <c r="H93" s="120"/>
      <c r="I93" s="121"/>
      <c r="K93" s="24">
        <f t="shared" si="12"/>
        <v>2008</v>
      </c>
      <c r="L93" s="24">
        <v>2008</v>
      </c>
    </row>
    <row r="94" spans="1:12" x14ac:dyDescent="0.35">
      <c r="A94" s="87" t="s">
        <v>0</v>
      </c>
      <c r="B94" s="88">
        <v>39639</v>
      </c>
      <c r="C94" s="88">
        <v>39646</v>
      </c>
      <c r="D94" s="89">
        <v>58311</v>
      </c>
      <c r="E94" s="90">
        <v>0.39060400000000001</v>
      </c>
      <c r="F94" s="120"/>
      <c r="G94" s="120"/>
      <c r="H94" s="120"/>
      <c r="I94" s="121"/>
      <c r="K94" s="24">
        <f t="shared" si="12"/>
        <v>2008</v>
      </c>
      <c r="L94" s="24">
        <v>2008</v>
      </c>
    </row>
    <row r="95" spans="1:12" x14ac:dyDescent="0.35">
      <c r="A95" s="87" t="s">
        <v>1</v>
      </c>
      <c r="B95" s="88">
        <v>39549</v>
      </c>
      <c r="C95" s="88">
        <v>39556</v>
      </c>
      <c r="D95" s="89">
        <v>67000</v>
      </c>
      <c r="E95" s="90">
        <v>0.44880599999999998</v>
      </c>
      <c r="F95" s="120"/>
      <c r="G95" s="120"/>
      <c r="H95" s="120"/>
      <c r="I95" s="121"/>
      <c r="K95" s="24">
        <f t="shared" si="12"/>
        <v>2008</v>
      </c>
      <c r="L95" s="24">
        <v>2008</v>
      </c>
    </row>
    <row r="96" spans="1:12" x14ac:dyDescent="0.35">
      <c r="A96" s="87" t="s">
        <v>0</v>
      </c>
      <c r="B96" s="88">
        <v>39539</v>
      </c>
      <c r="C96" s="88">
        <v>39556</v>
      </c>
      <c r="D96" s="89">
        <v>61530</v>
      </c>
      <c r="E96" s="90">
        <v>0.41217100000000001</v>
      </c>
      <c r="F96" s="120"/>
      <c r="G96" s="120"/>
      <c r="H96" s="120"/>
      <c r="I96" s="121"/>
      <c r="K96" s="24">
        <f t="shared" si="12"/>
        <v>2008</v>
      </c>
      <c r="L96" s="24">
        <v>2008</v>
      </c>
    </row>
    <row r="97" spans="1:12" x14ac:dyDescent="0.35">
      <c r="A97" s="122"/>
      <c r="B97" s="123"/>
      <c r="C97" s="123"/>
      <c r="D97" s="123"/>
      <c r="E97" s="123"/>
      <c r="F97" s="124"/>
      <c r="G97" s="124"/>
      <c r="H97" s="124"/>
      <c r="I97" s="125"/>
      <c r="K97" s="24"/>
      <c r="L97" s="24"/>
    </row>
    <row r="98" spans="1:12" x14ac:dyDescent="0.35">
      <c r="A98" s="75">
        <v>2007</v>
      </c>
      <c r="B98" s="76"/>
      <c r="C98" s="77"/>
      <c r="D98" s="78">
        <f>SUM(D99:D105)</f>
        <v>907495.42213999992</v>
      </c>
      <c r="E98" s="107">
        <f>SUM(E99:E105)</f>
        <v>6.0789480000000005</v>
      </c>
      <c r="F98" s="78">
        <v>855483</v>
      </c>
      <c r="G98" s="20">
        <f>D98/(F98)</f>
        <v>1.0607988962258748</v>
      </c>
      <c r="H98" s="21">
        <f>F98</f>
        <v>855483</v>
      </c>
      <c r="I98" s="22">
        <f>D98/H98</f>
        <v>1.0607988962258748</v>
      </c>
      <c r="K98" s="24"/>
      <c r="L98" s="24"/>
    </row>
    <row r="99" spans="1:12" x14ac:dyDescent="0.35">
      <c r="A99" s="32" t="s">
        <v>1</v>
      </c>
      <c r="B99" s="47">
        <v>39469</v>
      </c>
      <c r="C99" s="47">
        <v>39489</v>
      </c>
      <c r="D99" s="35">
        <f>170000123.89/1000</f>
        <v>170000.12388999999</v>
      </c>
      <c r="E99" s="36">
        <v>1.1387620000000001</v>
      </c>
      <c r="F99" s="102"/>
      <c r="G99" s="102"/>
      <c r="H99" s="103"/>
      <c r="I99" s="104"/>
      <c r="K99" s="24">
        <f t="shared" si="12"/>
        <v>2008</v>
      </c>
      <c r="L99" s="24">
        <v>2007</v>
      </c>
    </row>
    <row r="100" spans="1:12" x14ac:dyDescent="0.35">
      <c r="A100" s="32" t="s">
        <v>0</v>
      </c>
      <c r="B100" s="47">
        <v>39429</v>
      </c>
      <c r="C100" s="47">
        <v>39465</v>
      </c>
      <c r="D100" s="35">
        <v>39122</v>
      </c>
      <c r="E100" s="36">
        <v>0.26206600000000002</v>
      </c>
      <c r="F100" s="80"/>
      <c r="G100" s="80"/>
      <c r="H100" s="37"/>
      <c r="I100" s="38"/>
      <c r="K100" s="24">
        <f t="shared" si="12"/>
        <v>2008</v>
      </c>
      <c r="L100" s="24">
        <v>2007</v>
      </c>
    </row>
    <row r="101" spans="1:12" x14ac:dyDescent="0.35">
      <c r="A101" s="32" t="s">
        <v>0</v>
      </c>
      <c r="B101" s="47">
        <v>39392</v>
      </c>
      <c r="C101" s="47">
        <v>39405</v>
      </c>
      <c r="D101" s="35">
        <f>199614841.08/1000</f>
        <v>199614.84108000001</v>
      </c>
      <c r="E101" s="36">
        <v>1.3371390000000001</v>
      </c>
      <c r="F101" s="80"/>
      <c r="G101" s="80"/>
      <c r="H101" s="37"/>
      <c r="I101" s="38"/>
      <c r="K101" s="24">
        <f t="shared" si="12"/>
        <v>2007</v>
      </c>
      <c r="L101" s="24">
        <v>2007</v>
      </c>
    </row>
    <row r="102" spans="1:12" x14ac:dyDescent="0.35">
      <c r="A102" s="32" t="s">
        <v>1</v>
      </c>
      <c r="B102" s="47">
        <v>39357</v>
      </c>
      <c r="C102" s="47">
        <v>39405</v>
      </c>
      <c r="D102" s="35">
        <f>13347127.03/1000</f>
        <v>13347.12703</v>
      </c>
      <c r="E102" s="36">
        <v>8.9407E-2</v>
      </c>
      <c r="F102" s="80"/>
      <c r="G102" s="80"/>
      <c r="H102" s="37"/>
      <c r="I102" s="38"/>
      <c r="K102" s="24">
        <f t="shared" si="12"/>
        <v>2007</v>
      </c>
      <c r="L102" s="24">
        <v>2007</v>
      </c>
    </row>
    <row r="103" spans="1:12" x14ac:dyDescent="0.35">
      <c r="A103" s="32" t="s">
        <v>1</v>
      </c>
      <c r="B103" s="47">
        <v>39357</v>
      </c>
      <c r="C103" s="47">
        <v>39372</v>
      </c>
      <c r="D103" s="35">
        <f>160164330.14/1000</f>
        <v>160164.33013999998</v>
      </c>
      <c r="E103" s="36">
        <v>1.0728759999999999</v>
      </c>
      <c r="F103" s="80"/>
      <c r="G103" s="80"/>
      <c r="H103" s="37"/>
      <c r="I103" s="38"/>
      <c r="K103" s="24">
        <f t="shared" si="12"/>
        <v>2007</v>
      </c>
      <c r="L103" s="24">
        <v>2007</v>
      </c>
    </row>
    <row r="104" spans="1:12" x14ac:dyDescent="0.35">
      <c r="A104" s="32" t="s">
        <v>1</v>
      </c>
      <c r="B104" s="47">
        <v>39274</v>
      </c>
      <c r="C104" s="47">
        <v>39281</v>
      </c>
      <c r="D104" s="35">
        <f>240247000/1000</f>
        <v>240247</v>
      </c>
      <c r="E104" s="36">
        <v>1.6093170000000001</v>
      </c>
      <c r="F104" s="80"/>
      <c r="G104" s="80"/>
      <c r="H104" s="37"/>
      <c r="I104" s="38"/>
      <c r="K104" s="24">
        <f t="shared" si="12"/>
        <v>2007</v>
      </c>
      <c r="L104" s="24">
        <v>2007</v>
      </c>
    </row>
    <row r="105" spans="1:12" x14ac:dyDescent="0.35">
      <c r="A105" s="32" t="s">
        <v>1</v>
      </c>
      <c r="B105" s="47">
        <v>39161</v>
      </c>
      <c r="C105" s="47">
        <v>39168</v>
      </c>
      <c r="D105" s="35">
        <f>85000000/1000</f>
        <v>85000</v>
      </c>
      <c r="E105" s="36">
        <v>0.56938100000000003</v>
      </c>
      <c r="F105" s="80"/>
      <c r="G105" s="80"/>
      <c r="H105" s="37"/>
      <c r="I105" s="38"/>
      <c r="K105" s="24">
        <f t="shared" si="12"/>
        <v>2007</v>
      </c>
      <c r="L105" s="24">
        <v>2007</v>
      </c>
    </row>
    <row r="106" spans="1:12" x14ac:dyDescent="0.35">
      <c r="A106" s="82"/>
      <c r="B106" s="126"/>
      <c r="C106" s="127"/>
      <c r="D106" s="35"/>
      <c r="E106" s="36"/>
      <c r="F106" s="128"/>
      <c r="G106" s="80"/>
      <c r="H106" s="37"/>
      <c r="I106" s="38"/>
      <c r="K106" s="24"/>
      <c r="L106" s="24"/>
    </row>
    <row r="107" spans="1:12" x14ac:dyDescent="0.35">
      <c r="A107" s="75">
        <v>2006</v>
      </c>
      <c r="B107" s="76"/>
      <c r="C107" s="77"/>
      <c r="D107" s="78">
        <f>SUM(D108:D110)</f>
        <v>185075.59255</v>
      </c>
      <c r="E107" s="107">
        <f>SUM(E108:E110)</f>
        <v>1.239746</v>
      </c>
      <c r="F107" s="78">
        <v>117752</v>
      </c>
      <c r="G107" s="20">
        <f>D107/(F107)</f>
        <v>1.5717405441096541</v>
      </c>
      <c r="H107" s="21">
        <f>F107</f>
        <v>117752</v>
      </c>
      <c r="I107" s="22">
        <f>D107/H107</f>
        <v>1.5717405441096541</v>
      </c>
      <c r="K107" s="24"/>
      <c r="L107" s="24"/>
    </row>
    <row r="108" spans="1:12" x14ac:dyDescent="0.35">
      <c r="A108" s="114" t="s">
        <v>1</v>
      </c>
      <c r="B108" s="115">
        <v>39161</v>
      </c>
      <c r="C108" s="115">
        <v>39168</v>
      </c>
      <c r="D108" s="116">
        <f>60598592.55/1000</f>
        <v>60598.592549999994</v>
      </c>
      <c r="E108" s="117">
        <v>0.40592499999999998</v>
      </c>
      <c r="F108" s="118"/>
      <c r="G108" s="129"/>
      <c r="H108" s="118"/>
      <c r="I108" s="130"/>
      <c r="K108" s="24">
        <f t="shared" si="12"/>
        <v>2007</v>
      </c>
      <c r="L108" s="24">
        <v>2006</v>
      </c>
    </row>
    <row r="109" spans="1:12" x14ac:dyDescent="0.35">
      <c r="A109" s="87" t="s">
        <v>0</v>
      </c>
      <c r="B109" s="115">
        <v>38863</v>
      </c>
      <c r="C109" s="115">
        <v>39168</v>
      </c>
      <c r="D109" s="116">
        <f>27177000/1000</f>
        <v>27177</v>
      </c>
      <c r="E109" s="117">
        <v>0.18204799999999999</v>
      </c>
      <c r="F109" s="118"/>
      <c r="G109" s="129"/>
      <c r="H109" s="118"/>
      <c r="I109" s="130"/>
      <c r="K109" s="24">
        <f t="shared" si="12"/>
        <v>2007</v>
      </c>
      <c r="L109" s="24">
        <v>2006</v>
      </c>
    </row>
    <row r="110" spans="1:12" x14ac:dyDescent="0.35">
      <c r="A110" s="114" t="s">
        <v>1</v>
      </c>
      <c r="B110" s="115">
        <v>38828</v>
      </c>
      <c r="C110" s="115">
        <v>38887</v>
      </c>
      <c r="D110" s="89">
        <f>97300000/1000</f>
        <v>97300</v>
      </c>
      <c r="E110" s="90">
        <v>0.65177300000000005</v>
      </c>
      <c r="F110" s="118"/>
      <c r="G110" s="129"/>
      <c r="H110" s="118"/>
      <c r="I110" s="130"/>
      <c r="K110" s="24">
        <f t="shared" si="12"/>
        <v>2006</v>
      </c>
      <c r="L110" s="24">
        <v>2006</v>
      </c>
    </row>
    <row r="111" spans="1:12" x14ac:dyDescent="0.35">
      <c r="A111" s="114"/>
      <c r="B111" s="115"/>
      <c r="C111" s="115"/>
      <c r="D111" s="131"/>
      <c r="E111" s="90"/>
      <c r="F111" s="92"/>
      <c r="G111" s="91"/>
      <c r="H111" s="92"/>
      <c r="I111" s="93"/>
      <c r="K111" s="24"/>
      <c r="L111" s="24"/>
    </row>
    <row r="112" spans="1:12" x14ac:dyDescent="0.35">
      <c r="A112" s="75">
        <v>2005</v>
      </c>
      <c r="B112" s="76"/>
      <c r="C112" s="77"/>
      <c r="D112" s="78">
        <f>SUM(D113:D115)</f>
        <v>239354</v>
      </c>
      <c r="E112" s="107">
        <f>SUM(E113:E115)</f>
        <v>1.603334</v>
      </c>
      <c r="F112" s="78">
        <v>468277</v>
      </c>
      <c r="G112" s="20">
        <f>D112/(F112)</f>
        <v>0.51113763861987671</v>
      </c>
      <c r="H112" s="21">
        <f>F112</f>
        <v>468277</v>
      </c>
      <c r="I112" s="22">
        <f>D112/H112</f>
        <v>0.51113763861987671</v>
      </c>
      <c r="K112" s="24"/>
      <c r="L112" s="24"/>
    </row>
    <row r="113" spans="1:12" x14ac:dyDescent="0.35">
      <c r="A113" s="32" t="s">
        <v>0</v>
      </c>
      <c r="B113" s="47">
        <v>38715</v>
      </c>
      <c r="C113" s="47">
        <v>38730</v>
      </c>
      <c r="D113" s="35">
        <f>90000000/1000</f>
        <v>90000</v>
      </c>
      <c r="E113" s="36">
        <v>0.60287299999999999</v>
      </c>
      <c r="F113" s="132"/>
      <c r="G113" s="132"/>
      <c r="H113" s="132"/>
      <c r="I113" s="133"/>
      <c r="K113" s="24">
        <f t="shared" si="12"/>
        <v>2006</v>
      </c>
      <c r="L113" s="24">
        <v>2005</v>
      </c>
    </row>
    <row r="114" spans="1:12" x14ac:dyDescent="0.35">
      <c r="A114" s="32" t="s">
        <v>0</v>
      </c>
      <c r="B114" s="47">
        <v>38618</v>
      </c>
      <c r="C114" s="47">
        <v>38632</v>
      </c>
      <c r="D114" s="35">
        <f>95000000/1000</f>
        <v>95000</v>
      </c>
      <c r="E114" s="36">
        <v>0.63636599999999999</v>
      </c>
      <c r="F114" s="134"/>
      <c r="G114" s="134"/>
      <c r="H114" s="134"/>
      <c r="I114" s="135"/>
      <c r="K114" s="24">
        <f t="shared" si="12"/>
        <v>2005</v>
      </c>
      <c r="L114" s="24">
        <v>2005</v>
      </c>
    </row>
    <row r="115" spans="1:12" x14ac:dyDescent="0.35">
      <c r="A115" s="32" t="s">
        <v>0</v>
      </c>
      <c r="B115" s="47">
        <v>38527</v>
      </c>
      <c r="C115" s="47">
        <v>38687</v>
      </c>
      <c r="D115" s="35">
        <f>54354000/1000</f>
        <v>54354</v>
      </c>
      <c r="E115" s="36">
        <v>0.364095</v>
      </c>
      <c r="F115" s="134"/>
      <c r="G115" s="134"/>
      <c r="H115" s="134"/>
      <c r="I115" s="135"/>
      <c r="K115" s="24">
        <f t="shared" si="12"/>
        <v>2005</v>
      </c>
      <c r="L115" s="24">
        <v>2005</v>
      </c>
    </row>
    <row r="116" spans="1:12" x14ac:dyDescent="0.35">
      <c r="A116" s="82"/>
      <c r="B116" s="126"/>
      <c r="C116" s="127"/>
      <c r="D116" s="35"/>
      <c r="E116" s="36"/>
      <c r="F116" s="136"/>
      <c r="G116" s="136"/>
      <c r="H116" s="136"/>
      <c r="I116" s="137"/>
      <c r="K116" s="24"/>
      <c r="L116" s="24"/>
    </row>
    <row r="117" spans="1:12" x14ac:dyDescent="0.35">
      <c r="A117" s="75">
        <v>2004</v>
      </c>
      <c r="B117" s="76"/>
      <c r="C117" s="77"/>
      <c r="D117" s="78">
        <f>SUM(D118)</f>
        <v>75000</v>
      </c>
      <c r="E117" s="107">
        <f>SUM(E118)</f>
        <v>0.50239460000000002</v>
      </c>
      <c r="F117" s="78">
        <v>348778</v>
      </c>
      <c r="G117" s="20">
        <f>D117/(F117)</f>
        <v>0.21503649886174014</v>
      </c>
      <c r="H117" s="21">
        <f>F117</f>
        <v>348778</v>
      </c>
      <c r="I117" s="22">
        <f>D117/H117</f>
        <v>0.21503649886174014</v>
      </c>
      <c r="K117" s="24"/>
      <c r="L117" s="24"/>
    </row>
    <row r="118" spans="1:12" x14ac:dyDescent="0.35">
      <c r="A118" s="87" t="s">
        <v>0</v>
      </c>
      <c r="B118" s="115">
        <v>38324</v>
      </c>
      <c r="C118" s="115">
        <v>38526</v>
      </c>
      <c r="D118" s="89">
        <f>75000000/1000</f>
        <v>75000</v>
      </c>
      <c r="E118" s="90">
        <v>0.50239460000000002</v>
      </c>
      <c r="F118" s="91"/>
      <c r="G118" s="129"/>
      <c r="H118" s="118"/>
      <c r="I118" s="130"/>
      <c r="K118" s="24">
        <f t="shared" si="12"/>
        <v>2005</v>
      </c>
      <c r="L118" s="24">
        <v>2004</v>
      </c>
    </row>
    <row r="119" spans="1:12" x14ac:dyDescent="0.35">
      <c r="A119" s="87"/>
      <c r="B119" s="115"/>
      <c r="C119" s="115"/>
      <c r="D119" s="131"/>
      <c r="E119" s="90"/>
      <c r="F119" s="138"/>
      <c r="G119" s="91"/>
      <c r="H119" s="92"/>
      <c r="I119" s="93"/>
      <c r="K119" s="24"/>
      <c r="L119" s="24"/>
    </row>
    <row r="120" spans="1:12" x14ac:dyDescent="0.35">
      <c r="A120" s="75">
        <v>2003</v>
      </c>
      <c r="B120" s="76"/>
      <c r="C120" s="77"/>
      <c r="D120" s="78">
        <f>SUM(D121)</f>
        <v>147249</v>
      </c>
      <c r="E120" s="107">
        <f>SUM(E121)</f>
        <v>0.98636140000000005</v>
      </c>
      <c r="F120" s="78">
        <v>222376</v>
      </c>
      <c r="G120" s="20">
        <f>D120/(F120)</f>
        <v>0.66216228369967978</v>
      </c>
      <c r="H120" s="21">
        <f>F120</f>
        <v>222376</v>
      </c>
      <c r="I120" s="22">
        <f>D120/H120</f>
        <v>0.66216228369967978</v>
      </c>
      <c r="K120" s="24"/>
      <c r="L120" s="24"/>
    </row>
    <row r="121" spans="1:12" x14ac:dyDescent="0.35">
      <c r="A121" s="32" t="s">
        <v>0</v>
      </c>
      <c r="B121" s="47">
        <v>37883</v>
      </c>
      <c r="C121" s="47">
        <v>38159</v>
      </c>
      <c r="D121" s="35">
        <f>147249000/1000</f>
        <v>147249</v>
      </c>
      <c r="E121" s="36">
        <v>0.98636140000000005</v>
      </c>
      <c r="F121" s="102"/>
      <c r="G121" s="102"/>
      <c r="H121" s="103"/>
      <c r="I121" s="104"/>
      <c r="K121" s="24">
        <f t="shared" si="12"/>
        <v>2004</v>
      </c>
      <c r="L121" s="24">
        <v>2003</v>
      </c>
    </row>
    <row r="122" spans="1:12" x14ac:dyDescent="0.35">
      <c r="A122" s="82"/>
      <c r="B122" s="126"/>
      <c r="C122" s="127"/>
      <c r="D122" s="35"/>
      <c r="E122" s="36"/>
      <c r="F122" s="80"/>
      <c r="G122" s="80"/>
      <c r="H122" s="37"/>
      <c r="I122" s="38"/>
      <c r="K122" s="24"/>
      <c r="L122" s="24"/>
    </row>
    <row r="123" spans="1:12" x14ac:dyDescent="0.35">
      <c r="A123" s="75">
        <v>2002</v>
      </c>
      <c r="B123" s="76"/>
      <c r="C123" s="77"/>
      <c r="D123" s="78">
        <f>SUM(D124:D127)</f>
        <v>149135.07715999999</v>
      </c>
      <c r="E123" s="107">
        <f>SUM(E124:E127)</f>
        <v>0.99899389999999988</v>
      </c>
      <c r="F123" s="78">
        <v>168137</v>
      </c>
      <c r="G123" s="20">
        <f>D123/(F123)</f>
        <v>0.88698547708118969</v>
      </c>
      <c r="H123" s="21">
        <f>F123</f>
        <v>168137</v>
      </c>
      <c r="I123" s="22">
        <f>D123/H123</f>
        <v>0.88698547708118969</v>
      </c>
      <c r="K123" s="24"/>
      <c r="L123" s="24"/>
    </row>
    <row r="124" spans="1:12" x14ac:dyDescent="0.35">
      <c r="A124" s="87" t="s">
        <v>1</v>
      </c>
      <c r="B124" s="115">
        <v>37737</v>
      </c>
      <c r="C124" s="115">
        <v>37796</v>
      </c>
      <c r="D124" s="89">
        <f>12782077.16/1000</f>
        <v>12782.077160000001</v>
      </c>
      <c r="E124" s="90">
        <v>8.5621900000000001E-2</v>
      </c>
      <c r="F124" s="91"/>
      <c r="G124" s="129"/>
      <c r="H124" s="118"/>
      <c r="I124" s="130"/>
      <c r="K124" s="24">
        <f t="shared" si="12"/>
        <v>2003</v>
      </c>
      <c r="L124" s="24">
        <v>2002</v>
      </c>
    </row>
    <row r="125" spans="1:12" x14ac:dyDescent="0.35">
      <c r="A125" s="87" t="s">
        <v>0</v>
      </c>
      <c r="B125" s="115">
        <v>37618</v>
      </c>
      <c r="C125" s="115">
        <v>37666</v>
      </c>
      <c r="D125" s="116">
        <f>50000000/1000</f>
        <v>50000</v>
      </c>
      <c r="E125" s="90">
        <v>0.33492899999999998</v>
      </c>
      <c r="F125" s="91"/>
      <c r="G125" s="129"/>
      <c r="H125" s="118"/>
      <c r="I125" s="130"/>
      <c r="K125" s="24">
        <f t="shared" si="12"/>
        <v>2003</v>
      </c>
      <c r="L125" s="24">
        <v>2002</v>
      </c>
    </row>
    <row r="126" spans="1:12" x14ac:dyDescent="0.35">
      <c r="A126" s="87" t="s">
        <v>0</v>
      </c>
      <c r="B126" s="115">
        <v>37533</v>
      </c>
      <c r="C126" s="115">
        <v>37582</v>
      </c>
      <c r="D126" s="116">
        <f>32000000/1000</f>
        <v>32000</v>
      </c>
      <c r="E126" s="90">
        <v>0.21435499999999999</v>
      </c>
      <c r="F126" s="91"/>
      <c r="G126" s="129"/>
      <c r="H126" s="118"/>
      <c r="I126" s="130"/>
      <c r="K126" s="24">
        <f t="shared" si="12"/>
        <v>2002</v>
      </c>
      <c r="L126" s="24">
        <v>2002</v>
      </c>
    </row>
    <row r="127" spans="1:12" x14ac:dyDescent="0.35">
      <c r="A127" s="87" t="s">
        <v>0</v>
      </c>
      <c r="B127" s="115">
        <v>37442</v>
      </c>
      <c r="C127" s="115">
        <v>37491</v>
      </c>
      <c r="D127" s="89">
        <f>54353000/1000</f>
        <v>54353</v>
      </c>
      <c r="E127" s="90">
        <v>0.36408800000000002</v>
      </c>
      <c r="F127" s="91"/>
      <c r="G127" s="129"/>
      <c r="H127" s="118"/>
      <c r="I127" s="130"/>
      <c r="K127" s="24">
        <f t="shared" si="12"/>
        <v>2002</v>
      </c>
      <c r="L127" s="24">
        <v>2002</v>
      </c>
    </row>
    <row r="128" spans="1:12" x14ac:dyDescent="0.35">
      <c r="A128" s="139"/>
      <c r="B128" s="140"/>
      <c r="C128" s="140"/>
      <c r="D128" s="141"/>
      <c r="E128" s="142"/>
      <c r="F128" s="91"/>
      <c r="G128" s="143"/>
      <c r="H128" s="144"/>
      <c r="I128" s="145"/>
      <c r="K128" s="24"/>
      <c r="L128" s="24"/>
    </row>
    <row r="129" spans="1:9" ht="14.5" customHeight="1" x14ac:dyDescent="0.35">
      <c r="A129" s="152" t="s">
        <v>10</v>
      </c>
      <c r="B129" s="146"/>
      <c r="C129" s="146"/>
      <c r="D129" s="146"/>
      <c r="E129" s="146"/>
      <c r="F129" s="146"/>
      <c r="G129" s="146"/>
      <c r="H129" s="146"/>
      <c r="I129" s="146"/>
    </row>
    <row r="130" spans="1:9" x14ac:dyDescent="0.35">
      <c r="A130" s="150" t="s">
        <v>11</v>
      </c>
    </row>
    <row r="131" spans="1:9" x14ac:dyDescent="0.35">
      <c r="A131" s="150" t="s">
        <v>23</v>
      </c>
    </row>
    <row r="132" spans="1:9" x14ac:dyDescent="0.35">
      <c r="A132" s="151"/>
    </row>
  </sheetData>
  <autoFilter ref="K1:L128" xr:uid="{00000000-0001-0000-0000-000000000000}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B2B65-0AC5-49B4-A20E-67A0DA0E93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304470-C969-4C8F-AEF6-7891339ADE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03FB4B-5EE5-4DAF-9233-97698FA3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Victor Raimundo Penteado</cp:lastModifiedBy>
  <dcterms:created xsi:type="dcterms:W3CDTF">2018-05-29T13:10:25Z</dcterms:created>
  <dcterms:modified xsi:type="dcterms:W3CDTF">2022-05-06T19:22:49Z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